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TSP_HLE\Desktop\Calculs-Rapportfinal-decarbononslaculture\"/>
    </mc:Choice>
  </mc:AlternateContent>
  <bookViews>
    <workbookView xWindow="-105" yWindow="-105" windowWidth="23250" windowHeight="12570"/>
  </bookViews>
  <sheets>
    <sheet name="Read me SOMMAIRE CINEMA" sheetId="16" r:id="rId1"/>
    <sheet name="EXPLOITATION" sheetId="2" r:id="rId2"/>
    <sheet name="S1" sheetId="3" r:id="rId3"/>
    <sheet name="S2" sheetId="4" r:id="rId4"/>
    <sheet name="S3" sheetId="5" r:id="rId5"/>
    <sheet name="S4" sheetId="6" r:id="rId6"/>
    <sheet name="SCompilé" sheetId="10" r:id="rId7"/>
    <sheet name="2050 Mobilité" sheetId="15" r:id="rId8"/>
  </sheets>
  <externalReferences>
    <externalReference r:id="rId9"/>
  </externalReferences>
  <definedNames>
    <definedName name="\L">#REF!</definedName>
    <definedName name="FE_Immobilisations_VMO">'[1]FE Immobilisations'!$C$137:$C$142</definedName>
    <definedName name="Liste_Immobilisations2">[1]Utilitaires!$M$586:$M$587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48" i="15" l="1"/>
  <c r="F39" i="15"/>
  <c r="F48" i="15" s="1"/>
  <c r="G48" i="15" s="1"/>
  <c r="V34" i="15"/>
  <c r="U34" i="15"/>
  <c r="T34" i="15"/>
  <c r="S34" i="15"/>
  <c r="R34" i="15"/>
  <c r="Q34" i="15"/>
  <c r="F34" i="15"/>
  <c r="G34" i="15" s="1"/>
  <c r="E34" i="15"/>
  <c r="V33" i="15"/>
  <c r="U33" i="15"/>
  <c r="T33" i="15"/>
  <c r="S33" i="15"/>
  <c r="R33" i="15"/>
  <c r="Q33" i="15"/>
  <c r="V32" i="15"/>
  <c r="U32" i="15"/>
  <c r="T32" i="15"/>
  <c r="S32" i="15"/>
  <c r="R32" i="15"/>
  <c r="Q32" i="15"/>
  <c r="L32" i="15"/>
  <c r="K32" i="15"/>
  <c r="V31" i="15"/>
  <c r="U31" i="15"/>
  <c r="T31" i="15"/>
  <c r="S31" i="15"/>
  <c r="R31" i="15"/>
  <c r="Q31" i="15"/>
  <c r="K31" i="15"/>
  <c r="V30" i="15"/>
  <c r="U30" i="15"/>
  <c r="T30" i="15"/>
  <c r="S30" i="15"/>
  <c r="R30" i="15"/>
  <c r="Q30" i="15"/>
  <c r="L30" i="15"/>
  <c r="K30" i="15"/>
  <c r="V29" i="15"/>
  <c r="U29" i="15"/>
  <c r="T29" i="15"/>
  <c r="S29" i="15"/>
  <c r="R29" i="15"/>
  <c r="Q29" i="15"/>
  <c r="K29" i="15"/>
  <c r="V28" i="15"/>
  <c r="U28" i="15"/>
  <c r="T28" i="15"/>
  <c r="S28" i="15"/>
  <c r="R28" i="15"/>
  <c r="Q28" i="15"/>
  <c r="K28" i="15"/>
  <c r="V27" i="15"/>
  <c r="U27" i="15"/>
  <c r="T27" i="15"/>
  <c r="S27" i="15"/>
  <c r="R27" i="15"/>
  <c r="Q27" i="15"/>
  <c r="L27" i="15"/>
  <c r="K27" i="15"/>
  <c r="V26" i="15"/>
  <c r="U26" i="15"/>
  <c r="S26" i="15"/>
  <c r="Q26" i="15"/>
  <c r="K26" i="15"/>
  <c r="K25" i="15"/>
  <c r="K33" i="15" s="1"/>
  <c r="F25" i="15"/>
  <c r="T26" i="15" s="1"/>
  <c r="F19" i="15"/>
  <c r="G19" i="15" s="1"/>
  <c r="E19" i="15"/>
  <c r="L18" i="15"/>
  <c r="R18" i="15" s="1"/>
  <c r="K18" i="15"/>
  <c r="L17" i="15"/>
  <c r="Q17" i="15" s="1"/>
  <c r="K17" i="15"/>
  <c r="L16" i="15"/>
  <c r="R16" i="15" s="1"/>
  <c r="K16" i="15"/>
  <c r="L15" i="15"/>
  <c r="L29" i="15" s="1"/>
  <c r="K15" i="15"/>
  <c r="L14" i="15"/>
  <c r="R14" i="15" s="1"/>
  <c r="K14" i="15"/>
  <c r="L13" i="15"/>
  <c r="Q13" i="15" s="1"/>
  <c r="K13" i="15"/>
  <c r="L12" i="15"/>
  <c r="R12" i="15" s="1"/>
  <c r="K12" i="15"/>
  <c r="L11" i="15"/>
  <c r="Q11" i="15" s="1"/>
  <c r="K11" i="15"/>
  <c r="K10" i="15"/>
  <c r="K19" i="15" s="1"/>
  <c r="F10" i="15"/>
  <c r="R26" i="15" s="1"/>
  <c r="L28" i="15" l="1"/>
  <c r="Q15" i="15"/>
  <c r="R11" i="15"/>
  <c r="R13" i="15"/>
  <c r="R15" i="15"/>
  <c r="R17" i="15"/>
  <c r="L26" i="15"/>
  <c r="L31" i="15"/>
  <c r="L10" i="15"/>
  <c r="Q12" i="15"/>
  <c r="Q14" i="15"/>
  <c r="Q16" i="15"/>
  <c r="Q18" i="15"/>
  <c r="R10" i="15" l="1"/>
  <c r="Q10" i="15"/>
  <c r="L19" i="15"/>
  <c r="L25" i="15"/>
  <c r="L33" i="15" s="1"/>
  <c r="M33" i="15" s="1"/>
  <c r="Q19" i="15" l="1"/>
  <c r="M19" i="15"/>
  <c r="U27" i="10" l="1"/>
  <c r="V27" i="10"/>
  <c r="U28" i="10"/>
  <c r="V28" i="10"/>
  <c r="U29" i="10"/>
  <c r="V29" i="10"/>
  <c r="U30" i="10"/>
  <c r="V30" i="10"/>
  <c r="U31" i="10"/>
  <c r="V31" i="10"/>
  <c r="U32" i="10"/>
  <c r="V32" i="10"/>
  <c r="U33" i="10"/>
  <c r="V33" i="10"/>
  <c r="U34" i="10"/>
  <c r="V34" i="10"/>
  <c r="V26" i="10"/>
  <c r="U26" i="10"/>
  <c r="S27" i="10"/>
  <c r="T27" i="10"/>
  <c r="S28" i="10"/>
  <c r="T28" i="10"/>
  <c r="S29" i="10"/>
  <c r="T29" i="10"/>
  <c r="S30" i="10"/>
  <c r="T30" i="10"/>
  <c r="S31" i="10"/>
  <c r="T31" i="10"/>
  <c r="S32" i="10"/>
  <c r="T32" i="10"/>
  <c r="S33" i="10"/>
  <c r="T33" i="10"/>
  <c r="S34" i="10"/>
  <c r="T34" i="10"/>
  <c r="T26" i="10"/>
  <c r="S26" i="10"/>
  <c r="Q27" i="10"/>
  <c r="R27" i="10"/>
  <c r="Q28" i="10"/>
  <c r="R28" i="10"/>
  <c r="Q29" i="10"/>
  <c r="R29" i="10"/>
  <c r="Q30" i="10"/>
  <c r="R30" i="10"/>
  <c r="Q31" i="10"/>
  <c r="R31" i="10"/>
  <c r="Q32" i="10"/>
  <c r="R32" i="10"/>
  <c r="Q33" i="10"/>
  <c r="R33" i="10"/>
  <c r="Q34" i="10"/>
  <c r="R34" i="10"/>
  <c r="R26" i="10"/>
  <c r="Q26" i="10"/>
  <c r="K19" i="2"/>
  <c r="Q11" i="10"/>
  <c r="Q12" i="10"/>
  <c r="Q16" i="10"/>
  <c r="Q17" i="10"/>
  <c r="Q18" i="10"/>
  <c r="Q10" i="10"/>
  <c r="K26" i="10"/>
  <c r="K27" i="10"/>
  <c r="K28" i="10"/>
  <c r="K29" i="10"/>
  <c r="K30" i="10"/>
  <c r="K31" i="10"/>
  <c r="K32" i="10"/>
  <c r="K25" i="10"/>
  <c r="K11" i="10"/>
  <c r="K12" i="10"/>
  <c r="K13" i="10"/>
  <c r="K14" i="10"/>
  <c r="K15" i="10"/>
  <c r="K16" i="10"/>
  <c r="K17" i="10"/>
  <c r="K18" i="10"/>
  <c r="K10" i="10"/>
  <c r="E48" i="10"/>
  <c r="E34" i="10"/>
  <c r="E19" i="10"/>
  <c r="F39" i="10"/>
  <c r="F48" i="10" s="1"/>
  <c r="F25" i="10"/>
  <c r="F34" i="10" s="1"/>
  <c r="L18" i="10"/>
  <c r="R18" i="10" s="1"/>
  <c r="L17" i="10"/>
  <c r="L31" i="10" s="1"/>
  <c r="L16" i="10"/>
  <c r="L30" i="10" s="1"/>
  <c r="L15" i="10"/>
  <c r="L29" i="10" s="1"/>
  <c r="L14" i="10"/>
  <c r="L28" i="10" s="1"/>
  <c r="L13" i="10"/>
  <c r="R13" i="10" s="1"/>
  <c r="L12" i="10"/>
  <c r="R12" i="10" s="1"/>
  <c r="L11" i="10"/>
  <c r="R11" i="10" s="1"/>
  <c r="F10" i="10"/>
  <c r="F19" i="10" s="1"/>
  <c r="G19" i="6"/>
  <c r="G48" i="6"/>
  <c r="G34" i="6"/>
  <c r="G48" i="5"/>
  <c r="G34" i="5"/>
  <c r="G19" i="5"/>
  <c r="G19" i="4"/>
  <c r="G48" i="4"/>
  <c r="G34" i="4"/>
  <c r="G48" i="3"/>
  <c r="G34" i="3"/>
  <c r="G19" i="3"/>
  <c r="E19" i="2"/>
  <c r="E10" i="5"/>
  <c r="K10" i="5" s="1"/>
  <c r="M33" i="6"/>
  <c r="M19" i="6"/>
  <c r="E18" i="6"/>
  <c r="E33" i="6"/>
  <c r="E47" i="6"/>
  <c r="E41" i="6"/>
  <c r="E12" i="6"/>
  <c r="K12" i="6"/>
  <c r="K29" i="6"/>
  <c r="K17" i="6"/>
  <c r="K31" i="6" s="1"/>
  <c r="K16" i="6"/>
  <c r="K30" i="6" s="1"/>
  <c r="K15" i="6"/>
  <c r="K14" i="6"/>
  <c r="K28" i="6" s="1"/>
  <c r="K13" i="6"/>
  <c r="K11" i="6"/>
  <c r="K26" i="6" s="1"/>
  <c r="K10" i="6"/>
  <c r="K25" i="6" s="1"/>
  <c r="F6" i="6"/>
  <c r="E39" i="5"/>
  <c r="E48" i="5" s="1"/>
  <c r="E25" i="5"/>
  <c r="E34" i="5" s="1"/>
  <c r="F27" i="5" s="1"/>
  <c r="K11" i="5"/>
  <c r="K30" i="5"/>
  <c r="K29" i="5"/>
  <c r="K27" i="5"/>
  <c r="K18" i="5"/>
  <c r="K32" i="5" s="1"/>
  <c r="K17" i="5"/>
  <c r="K31" i="5" s="1"/>
  <c r="K16" i="5"/>
  <c r="K15" i="5"/>
  <c r="K14" i="5"/>
  <c r="K13" i="5"/>
  <c r="K12" i="5"/>
  <c r="Q15" i="10" l="1"/>
  <c r="Q14" i="10"/>
  <c r="Q13" i="10"/>
  <c r="R17" i="10"/>
  <c r="R16" i="10"/>
  <c r="R15" i="10"/>
  <c r="R14" i="10"/>
  <c r="K33" i="10"/>
  <c r="K19" i="10"/>
  <c r="L10" i="10"/>
  <c r="G48" i="10"/>
  <c r="L32" i="10"/>
  <c r="G19" i="10"/>
  <c r="L26" i="10"/>
  <c r="G34" i="10"/>
  <c r="L27" i="10"/>
  <c r="K18" i="6"/>
  <c r="K32" i="6" s="1"/>
  <c r="E34" i="6"/>
  <c r="E48" i="6"/>
  <c r="F40" i="6" s="1"/>
  <c r="F47" i="6"/>
  <c r="F39" i="6"/>
  <c r="F44" i="6"/>
  <c r="F43" i="6"/>
  <c r="F42" i="6"/>
  <c r="F41" i="6"/>
  <c r="E19" i="6"/>
  <c r="F11" i="6" s="1"/>
  <c r="F29" i="6"/>
  <c r="F28" i="6"/>
  <c r="F30" i="6"/>
  <c r="F31" i="6"/>
  <c r="F32" i="6"/>
  <c r="K19" i="6"/>
  <c r="L13" i="6" s="1"/>
  <c r="K27" i="6"/>
  <c r="F45" i="6"/>
  <c r="F46" i="6"/>
  <c r="F17" i="6"/>
  <c r="F47" i="5"/>
  <c r="F40" i="5"/>
  <c r="F43" i="5"/>
  <c r="E19" i="5"/>
  <c r="F13" i="5" s="1"/>
  <c r="K25" i="5"/>
  <c r="F44" i="5"/>
  <c r="F29" i="5"/>
  <c r="F30" i="5"/>
  <c r="F31" i="5"/>
  <c r="F28" i="5"/>
  <c r="F26" i="5"/>
  <c r="F32" i="5"/>
  <c r="F25" i="5"/>
  <c r="F33" i="5"/>
  <c r="K19" i="5"/>
  <c r="L17" i="5" s="1"/>
  <c r="K26" i="5"/>
  <c r="K33" i="5" s="1"/>
  <c r="F41" i="5"/>
  <c r="F42" i="5"/>
  <c r="K28" i="5"/>
  <c r="F46" i="5"/>
  <c r="F45" i="5"/>
  <c r="F39" i="5"/>
  <c r="L25" i="10" l="1"/>
  <c r="R10" i="10"/>
  <c r="L19" i="10"/>
  <c r="Q19" i="10" s="1"/>
  <c r="L33" i="10"/>
  <c r="F15" i="5"/>
  <c r="F18" i="6"/>
  <c r="F14" i="6"/>
  <c r="F10" i="6"/>
  <c r="F15" i="6"/>
  <c r="F12" i="6"/>
  <c r="F33" i="6"/>
  <c r="F25" i="6"/>
  <c r="F27" i="6"/>
  <c r="F26" i="6"/>
  <c r="F13" i="6"/>
  <c r="F16" i="6"/>
  <c r="L12" i="6"/>
  <c r="L10" i="6"/>
  <c r="L11" i="6"/>
  <c r="L18" i="6"/>
  <c r="K33" i="6"/>
  <c r="L27" i="6" s="1"/>
  <c r="L16" i="6"/>
  <c r="L17" i="6"/>
  <c r="L15" i="6"/>
  <c r="L14" i="6"/>
  <c r="F10" i="5"/>
  <c r="F12" i="5"/>
  <c r="F18" i="5"/>
  <c r="F14" i="5"/>
  <c r="F11" i="5"/>
  <c r="F17" i="5"/>
  <c r="F16" i="5"/>
  <c r="L27" i="5"/>
  <c r="L13" i="5"/>
  <c r="L14" i="5"/>
  <c r="L11" i="5"/>
  <c r="L10" i="5"/>
  <c r="L12" i="5"/>
  <c r="L15" i="5"/>
  <c r="L16" i="5"/>
  <c r="L18" i="5"/>
  <c r="L26" i="5"/>
  <c r="L29" i="5"/>
  <c r="L30" i="5"/>
  <c r="L32" i="5"/>
  <c r="L31" i="5"/>
  <c r="L28" i="5"/>
  <c r="L25" i="5"/>
  <c r="M19" i="10" l="1"/>
  <c r="M33" i="10"/>
  <c r="L31" i="6"/>
  <c r="L32" i="6"/>
  <c r="L28" i="6"/>
  <c r="L29" i="6"/>
  <c r="L26" i="6"/>
  <c r="L30" i="6"/>
  <c r="L25" i="6"/>
  <c r="E48" i="4" l="1"/>
  <c r="F47" i="4" s="1"/>
  <c r="F42" i="4"/>
  <c r="F41" i="4"/>
  <c r="F40" i="4"/>
  <c r="E34" i="4"/>
  <c r="F33" i="4" s="1"/>
  <c r="K32" i="4"/>
  <c r="F32" i="4"/>
  <c r="F31" i="4"/>
  <c r="F30" i="4"/>
  <c r="F29" i="4"/>
  <c r="F28" i="4"/>
  <c r="F26" i="4"/>
  <c r="F25" i="4"/>
  <c r="E19" i="4"/>
  <c r="F13" i="4" s="1"/>
  <c r="K18" i="4"/>
  <c r="K17" i="4"/>
  <c r="K31" i="4" s="1"/>
  <c r="K16" i="4"/>
  <c r="K30" i="4" s="1"/>
  <c r="K15" i="4"/>
  <c r="K29" i="4" s="1"/>
  <c r="K14" i="4"/>
  <c r="K28" i="4" s="1"/>
  <c r="K13" i="4"/>
  <c r="K12" i="4"/>
  <c r="K27" i="4" s="1"/>
  <c r="K11" i="4"/>
  <c r="K26" i="4" s="1"/>
  <c r="K10" i="4"/>
  <c r="K25" i="4" s="1"/>
  <c r="F43" i="4" l="1"/>
  <c r="F44" i="4"/>
  <c r="F45" i="4"/>
  <c r="F27" i="4"/>
  <c r="F16" i="4"/>
  <c r="K33" i="4"/>
  <c r="L29" i="4" s="1"/>
  <c r="F11" i="4"/>
  <c r="F15" i="4"/>
  <c r="F46" i="4"/>
  <c r="K19" i="4"/>
  <c r="L14" i="4" s="1"/>
  <c r="F17" i="4"/>
  <c r="F12" i="4"/>
  <c r="F10" i="4"/>
  <c r="F18" i="4"/>
  <c r="F39" i="4"/>
  <c r="F14" i="4"/>
  <c r="L32" i="4" l="1"/>
  <c r="L28" i="4"/>
  <c r="L11" i="4"/>
  <c r="L16" i="4"/>
  <c r="L13" i="4"/>
  <c r="L17" i="4"/>
  <c r="L25" i="4"/>
  <c r="L27" i="4"/>
  <c r="L31" i="4"/>
  <c r="L26" i="4"/>
  <c r="L15" i="4"/>
  <c r="L10" i="4"/>
  <c r="L12" i="4"/>
  <c r="L18" i="4"/>
  <c r="L30" i="4"/>
  <c r="E48" i="3" l="1"/>
  <c r="F47" i="3" s="1"/>
  <c r="F40" i="3"/>
  <c r="F39" i="3"/>
  <c r="E34" i="3"/>
  <c r="F33" i="3" s="1"/>
  <c r="K32" i="3"/>
  <c r="K27" i="3"/>
  <c r="E19" i="3"/>
  <c r="F16" i="3" s="1"/>
  <c r="K18" i="3"/>
  <c r="K17" i="3"/>
  <c r="K31" i="3" s="1"/>
  <c r="K16" i="3"/>
  <c r="K30" i="3" s="1"/>
  <c r="K15" i="3"/>
  <c r="K29" i="3" s="1"/>
  <c r="K14" i="3"/>
  <c r="K28" i="3" s="1"/>
  <c r="K13" i="3"/>
  <c r="K12" i="3"/>
  <c r="K11" i="3"/>
  <c r="K26" i="3" s="1"/>
  <c r="K10" i="3"/>
  <c r="K25" i="3" s="1"/>
  <c r="F11" i="3" l="1"/>
  <c r="F25" i="3"/>
  <c r="F27" i="3"/>
  <c r="F28" i="3"/>
  <c r="F30" i="3"/>
  <c r="F31" i="3"/>
  <c r="F41" i="3"/>
  <c r="F42" i="3"/>
  <c r="F43" i="3"/>
  <c r="F44" i="3"/>
  <c r="F14" i="3"/>
  <c r="K19" i="3"/>
  <c r="L13" i="3" s="1"/>
  <c r="F17" i="3"/>
  <c r="F12" i="3"/>
  <c r="K33" i="3"/>
  <c r="L30" i="3" s="1"/>
  <c r="F15" i="3"/>
  <c r="F10" i="3"/>
  <c r="F18" i="3"/>
  <c r="F26" i="3"/>
  <c r="F13" i="3"/>
  <c r="F29" i="3"/>
  <c r="F32" i="3"/>
  <c r="F45" i="3"/>
  <c r="F46" i="3"/>
  <c r="L27" i="3" l="1"/>
  <c r="L28" i="3"/>
  <c r="L11" i="3"/>
  <c r="L10" i="3"/>
  <c r="L31" i="3"/>
  <c r="L32" i="3"/>
  <c r="L25" i="3"/>
  <c r="L15" i="3"/>
  <c r="L14" i="3"/>
  <c r="L26" i="3"/>
  <c r="L12" i="3"/>
  <c r="L17" i="3"/>
  <c r="L16" i="3"/>
  <c r="L29" i="3"/>
  <c r="L18" i="3"/>
  <c r="K30" i="2" l="1"/>
  <c r="K31" i="2"/>
  <c r="K32" i="2"/>
  <c r="K11" i="2"/>
  <c r="K26" i="2" s="1"/>
  <c r="K12" i="2"/>
  <c r="K27" i="2" s="1"/>
  <c r="K13" i="2"/>
  <c r="K14" i="2"/>
  <c r="K28" i="2" s="1"/>
  <c r="K15" i="2"/>
  <c r="K29" i="2" s="1"/>
  <c r="K16" i="2"/>
  <c r="K17" i="2"/>
  <c r="K18" i="2"/>
  <c r="K10" i="2"/>
  <c r="E48" i="2"/>
  <c r="F44" i="2" s="1"/>
  <c r="F26" i="2"/>
  <c r="F31" i="2"/>
  <c r="F32" i="2"/>
  <c r="F33" i="2"/>
  <c r="F25" i="2"/>
  <c r="E34" i="2"/>
  <c r="F27" i="2" s="1"/>
  <c r="F43" i="2" l="1"/>
  <c r="K25" i="2"/>
  <c r="F42" i="2"/>
  <c r="F41" i="2"/>
  <c r="F39" i="2"/>
  <c r="F47" i="2"/>
  <c r="F29" i="2"/>
  <c r="F46" i="2"/>
  <c r="F30" i="2"/>
  <c r="F28" i="2"/>
  <c r="F45" i="2"/>
  <c r="F40" i="2"/>
  <c r="M19" i="3" l="1"/>
  <c r="M19" i="5"/>
  <c r="M19" i="4"/>
  <c r="L18" i="2"/>
  <c r="K33" i="2"/>
  <c r="L10" i="2"/>
  <c r="L13" i="2"/>
  <c r="L15" i="2"/>
  <c r="L11" i="2"/>
  <c r="L12" i="2"/>
  <c r="L14" i="2"/>
  <c r="L16" i="2"/>
  <c r="L17" i="2"/>
  <c r="M33" i="4" l="1"/>
  <c r="M33" i="5"/>
  <c r="L27" i="2"/>
  <c r="L28" i="2"/>
  <c r="L29" i="2"/>
  <c r="L30" i="2"/>
  <c r="L31" i="2"/>
  <c r="L32" i="2"/>
  <c r="L26" i="2"/>
  <c r="L25" i="2"/>
  <c r="F11" i="2" l="1"/>
  <c r="F12" i="2"/>
  <c r="F13" i="2"/>
  <c r="F14" i="2"/>
  <c r="F15" i="2"/>
  <c r="F16" i="2"/>
  <c r="F17" i="2"/>
  <c r="F18" i="2"/>
  <c r="F10" i="2"/>
</calcChain>
</file>

<file path=xl/sharedStrings.xml><?xml version="1.0" encoding="utf-8"?>
<sst xmlns="http://schemas.openxmlformats.org/spreadsheetml/2006/main" count="720" uniqueCount="61">
  <si>
    <t>Energie</t>
  </si>
  <si>
    <t>Consommation d’électricité</t>
  </si>
  <si>
    <t>Achats</t>
  </si>
  <si>
    <t>Déplacements</t>
  </si>
  <si>
    <t>Transport des spectateurs</t>
  </si>
  <si>
    <t>Déplacements professionnels</t>
  </si>
  <si>
    <t>Trajets domicile-travail des employés</t>
  </si>
  <si>
    <t>Autres</t>
  </si>
  <si>
    <t>Déchets</t>
  </si>
  <si>
    <t>Bâtiments et parc automobile</t>
  </si>
  <si>
    <t>TOTAL</t>
  </si>
  <si>
    <t>Sources fixes de combustion</t>
  </si>
  <si>
    <t>Transport confiserie, films, matériel publicitaire</t>
  </si>
  <si>
    <t>Consommation d’électricité (y compris numérique)</t>
  </si>
  <si>
    <t>PETITE EXPLOITATION</t>
  </si>
  <si>
    <t>Achats de produits (boissons, confiserie…) et services (prestations ménage, sécurité…)</t>
  </si>
  <si>
    <t>Immobilisation</t>
  </si>
  <si>
    <t>tCO2eq</t>
  </si>
  <si>
    <t>%</t>
  </si>
  <si>
    <t>MOYENNE EXPLOITATION</t>
  </si>
  <si>
    <t>GRANDE EXPLOITATION</t>
  </si>
  <si>
    <t>TOTAL EXPLOITATION</t>
  </si>
  <si>
    <t>TOTAL SANS DEPLACEMENT SPECTATEURS</t>
  </si>
  <si>
    <t>diminution d'un VUL</t>
  </si>
  <si>
    <t>diminution d'un tiers de la distance quotidienne en voiture des collaborateurs</t>
  </si>
  <si>
    <t>Initial</t>
  </si>
  <si>
    <t>Avec mesures</t>
  </si>
  <si>
    <t>Achats de produits et services</t>
  </si>
  <si>
    <t>EVOLUTION</t>
  </si>
  <si>
    <t>Petite exploitation</t>
  </si>
  <si>
    <t>Moyenne exploitation</t>
  </si>
  <si>
    <t>Grande exploitation</t>
  </si>
  <si>
    <t>Transport confiserie, films, matériel pub.</t>
  </si>
  <si>
    <t>salles</t>
  </si>
  <si>
    <t>HYPOTHESE : 20% de voitures spectateurs en moins</t>
  </si>
  <si>
    <t xml:space="preserve">HYPOTHESES : </t>
  </si>
  <si>
    <t>75% de la distance en train au lieu de voiture</t>
  </si>
  <si>
    <t>EXPLOITATION</t>
  </si>
  <si>
    <t>Scénario 1 : action sur la mobilité des spectateurs</t>
  </si>
  <si>
    <t>Scénario 2 : action sur la mobilité des professionnels</t>
  </si>
  <si>
    <t>réduction des consommations énergétiques de 20%</t>
  </si>
  <si>
    <t>remplacement du fuel et gaz par électricité</t>
  </si>
  <si>
    <t>ratio appliqué d'après données récoltées d'une salle appliquant achats locaux (- de 50km) et consignes bouteilles</t>
  </si>
  <si>
    <t>Scénario 3 : action sur les consommations d'énergie</t>
  </si>
  <si>
    <t>Scénario 4 : action sur l'alimentation</t>
  </si>
  <si>
    <t>Scénario compilé : addition de l'ensemble des leviers</t>
  </si>
  <si>
    <t xml:space="preserve">HYPOTHESE : </t>
  </si>
  <si>
    <t>HYPOTHESE : application d'un facteur d'émission pour la mobilité de 0,002 kgCO2/km (source : PTEF Mobilité, The Shift Project)</t>
  </si>
  <si>
    <t>S1</t>
  </si>
  <si>
    <t>S2</t>
  </si>
  <si>
    <t>S3</t>
  </si>
  <si>
    <t>S4</t>
  </si>
  <si>
    <t>Scompilé</t>
  </si>
  <si>
    <t>S2050</t>
  </si>
  <si>
    <t>Scénario avec une mobilité totalement décarbonée</t>
  </si>
  <si>
    <t>Organisation des onglets :</t>
  </si>
  <si>
    <t xml:space="preserve">Dans le fichier que nous vous partageons, nous avons uniquement conservé les dernieres versions de calculs </t>
  </si>
  <si>
    <t>Nous le partageons afin que vous puissiez prendre connaissance de notre méthode mais aussi pour que vous nous fassiez des retours. Aussi, si vous le souhaitez, vous pouvez nous renvoyer ce document avec vos commentaires écrits en rouge à l'adresse culture@theshiftproject.org</t>
  </si>
  <si>
    <t>Informations générales:</t>
  </si>
  <si>
    <t>Ce document excel est l'outil de calcul que le think tank The Shift Project utilise pour estimer l'empreinte carbone d'une salle de cinéma réalisée sà partir des données de 4 salles de cinéma.</t>
  </si>
  <si>
    <t>SCENARIO DE REFERENCE / Bilan carbone de 3 salles de cinéma différentes (petite/moy/grande) type en partant 
des paramètres explicités en onglet 2, sans application de mesures particulières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</si>
</sst>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_ * #,##0.00_)_ ;_ * \(#,##0.00\)_ ;_ * &quot;-&quot;??_)_ ;_ @_ "/>
    <numFmt numFmtId="166" formatCode="0.0%"/>
    <numFmt numFmtId="167" formatCode="_-* #,##0_-;\-* #,##0_-;_-* &quot;-&quot;??_-;_-@_-"/>
  </numFmts>
  <fonts count="14" x14ac:knownFonts="1">
    <font>
      <sz val="11"/>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sz val="10"/>
      <color rgb="FF000000"/>
      <name val="Arial"/>
      <family val="2"/>
    </font>
    <font>
      <b/>
      <sz val="10"/>
      <color theme="1"/>
      <name val="Arial"/>
      <family val="2"/>
    </font>
    <font>
      <sz val="10"/>
      <color theme="1"/>
      <name val="Arial"/>
      <family val="2"/>
    </font>
    <font>
      <sz val="12"/>
      <color theme="1"/>
      <name val="Arial"/>
      <family val="2"/>
    </font>
    <font>
      <sz val="16"/>
      <color theme="1"/>
      <name val="Arial"/>
      <family val="2"/>
    </font>
    <font>
      <u/>
      <sz val="11"/>
      <color theme="10"/>
      <name val="Calibri"/>
      <family val="2"/>
      <scheme val="minor"/>
    </font>
    <font>
      <sz val="11"/>
      <color theme="1"/>
      <name val="Arial"/>
      <family val="2"/>
    </font>
    <font>
      <b/>
      <sz val="11"/>
      <color theme="1"/>
      <name val="Calibri"/>
      <family val="2"/>
      <scheme val="minor"/>
    </font>
    <font>
      <u/>
      <sz val="11"/>
      <name val="Calibri"/>
      <family val="2"/>
      <scheme val="minor"/>
    </font>
    <font>
      <b/>
      <u/>
      <sz val="11"/>
      <color theme="0"/>
      <name val="Calibri"/>
      <family val="2"/>
      <scheme val="minor"/>
    </font>
  </fonts>
  <fills count="17">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rgb="FFFFC000"/>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00B0F0"/>
        <bgColor indexed="64"/>
      </patternFill>
    </fill>
    <fill>
      <patternFill patternType="solid">
        <fgColor theme="5" tint="0.79998168889431442"/>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rgb="FFFF33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165" fontId="2" fillId="0" borderId="0" applyFont="0" applyFill="0" applyBorder="0" applyAlignment="0" applyProtection="0"/>
    <xf numFmtId="0" fontId="3" fillId="0" borderId="0" applyNumberFormat="0" applyFill="0" applyBorder="0" applyAlignment="0" applyProtection="0"/>
    <xf numFmtId="0" fontId="4" fillId="0" borderId="0"/>
    <xf numFmtId="164" fontId="1" fillId="0" borderId="0" applyFont="0" applyFill="0" applyBorder="0" applyAlignment="0" applyProtection="0"/>
    <xf numFmtId="0" fontId="9" fillId="0" borderId="0" applyNumberFormat="0" applyFill="0" applyBorder="0" applyAlignment="0" applyProtection="0"/>
    <xf numFmtId="0" fontId="1" fillId="0" borderId="0"/>
    <xf numFmtId="0" fontId="4" fillId="0" borderId="0"/>
  </cellStyleXfs>
  <cellXfs count="96">
    <xf numFmtId="0" fontId="0" fillId="0" borderId="0" xfId="0"/>
    <xf numFmtId="166" fontId="0" fillId="0" borderId="1" xfId="1" applyNumberFormat="1" applyFont="1" applyBorder="1" applyAlignment="1">
      <alignment horizontal="center"/>
    </xf>
    <xf numFmtId="2" fontId="0" fillId="0" borderId="1" xfId="0" applyNumberFormat="1" applyBorder="1" applyAlignment="1">
      <alignment horizontal="center"/>
    </xf>
    <xf numFmtId="2" fontId="0" fillId="0" borderId="1" xfId="0" applyNumberFormat="1" applyFill="1" applyBorder="1" applyAlignment="1">
      <alignment horizontal="center"/>
    </xf>
    <xf numFmtId="0" fontId="6" fillId="0" borderId="0" xfId="0" applyFont="1"/>
    <xf numFmtId="0" fontId="6" fillId="0" borderId="0" xfId="0" applyFont="1" applyAlignment="1">
      <alignment horizontal="center"/>
    </xf>
    <xf numFmtId="0" fontId="5" fillId="4"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6" fillId="0" borderId="0" xfId="0" applyFont="1" applyAlignment="1">
      <alignment vertical="center"/>
    </xf>
    <xf numFmtId="0" fontId="5" fillId="0" borderId="0" xfId="0" applyFont="1" applyAlignment="1">
      <alignment vertical="center"/>
    </xf>
    <xf numFmtId="0" fontId="6" fillId="0" borderId="3" xfId="0" applyFont="1" applyBorder="1" applyAlignment="1">
      <alignment vertical="center" wrapText="1"/>
    </xf>
    <xf numFmtId="0" fontId="6" fillId="0" borderId="1" xfId="0" applyFont="1" applyBorder="1" applyAlignment="1">
      <alignment horizontal="center" vertical="center"/>
    </xf>
    <xf numFmtId="166" fontId="6" fillId="0" borderId="1" xfId="1" applyNumberFormat="1" applyFont="1" applyBorder="1" applyAlignment="1">
      <alignment horizontal="center" vertical="center"/>
    </xf>
    <xf numFmtId="2" fontId="6" fillId="0" borderId="1" xfId="0" applyNumberFormat="1" applyFont="1" applyBorder="1" applyAlignment="1">
      <alignment horizontal="center" vertical="center"/>
    </xf>
    <xf numFmtId="0" fontId="6" fillId="0" borderId="1" xfId="0" applyFont="1" applyBorder="1" applyAlignment="1">
      <alignment vertical="center" wrapText="1"/>
    </xf>
    <xf numFmtId="0" fontId="6" fillId="0" borderId="0" xfId="0" applyFont="1" applyAlignment="1">
      <alignment horizontal="center" vertical="center"/>
    </xf>
    <xf numFmtId="2" fontId="6" fillId="0" borderId="0" xfId="0" applyNumberFormat="1" applyFont="1" applyBorder="1" applyAlignment="1">
      <alignment horizontal="center" vertical="center"/>
    </xf>
    <xf numFmtId="166" fontId="6" fillId="0" borderId="0" xfId="1" applyNumberFormat="1" applyFont="1" applyBorder="1" applyAlignment="1">
      <alignment horizontal="center" vertical="center"/>
    </xf>
    <xf numFmtId="2" fontId="6" fillId="0" borderId="0" xfId="0" applyNumberFormat="1" applyFont="1" applyFill="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center"/>
    </xf>
    <xf numFmtId="167" fontId="6" fillId="0" borderId="1" xfId="6" applyNumberFormat="1" applyFont="1" applyBorder="1" applyAlignment="1">
      <alignment horizontal="center" vertical="center"/>
    </xf>
    <xf numFmtId="166" fontId="6" fillId="0" borderId="0" xfId="1" applyNumberFormat="1" applyFont="1"/>
    <xf numFmtId="2" fontId="0" fillId="2" borderId="1" xfId="0" applyNumberFormat="1" applyFill="1" applyBorder="1" applyAlignment="1">
      <alignment horizontal="center"/>
    </xf>
    <xf numFmtId="0" fontId="6" fillId="2" borderId="1" xfId="0" applyFont="1" applyFill="1" applyBorder="1" applyAlignment="1">
      <alignment horizontal="center" vertical="center"/>
    </xf>
    <xf numFmtId="2" fontId="6" fillId="2" borderId="1" xfId="0" applyNumberFormat="1" applyFont="1" applyFill="1" applyBorder="1" applyAlignment="1">
      <alignment horizontal="center" vertical="center"/>
    </xf>
    <xf numFmtId="0" fontId="7" fillId="5" borderId="3" xfId="0" applyFont="1" applyFill="1" applyBorder="1" applyAlignment="1">
      <alignment horizontal="center" vertical="center"/>
    </xf>
    <xf numFmtId="2" fontId="7" fillId="5" borderId="3" xfId="0" applyNumberFormat="1" applyFont="1" applyFill="1" applyBorder="1" applyAlignment="1">
      <alignment horizontal="center" vertical="center"/>
    </xf>
    <xf numFmtId="2" fontId="7" fillId="5" borderId="3" xfId="0" applyNumberFormat="1" applyFont="1" applyFill="1" applyBorder="1" applyAlignment="1">
      <alignment vertical="center"/>
    </xf>
    <xf numFmtId="164" fontId="7" fillId="5" borderId="3" xfId="6" applyFont="1" applyFill="1" applyBorder="1" applyAlignment="1">
      <alignment vertical="center"/>
    </xf>
    <xf numFmtId="2" fontId="0" fillId="0" borderId="0" xfId="0" applyNumberFormat="1" applyFill="1" applyBorder="1" applyAlignment="1">
      <alignment horizontal="center"/>
    </xf>
    <xf numFmtId="0" fontId="6" fillId="0" borderId="0" xfId="0" applyFont="1" applyFill="1" applyBorder="1"/>
    <xf numFmtId="0" fontId="6" fillId="0" borderId="0" xfId="0" applyFont="1" applyFill="1" applyBorder="1" applyAlignment="1">
      <alignment horizontal="center"/>
    </xf>
    <xf numFmtId="0" fontId="5" fillId="0" borderId="0" xfId="0" applyFont="1" applyFill="1" applyBorder="1" applyAlignment="1">
      <alignment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6"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Border="1" applyAlignment="1">
      <alignment vertical="center"/>
    </xf>
    <xf numFmtId="2" fontId="7" fillId="0" borderId="0" xfId="0" applyNumberFormat="1" applyFont="1" applyFill="1" applyBorder="1" applyAlignment="1">
      <alignment vertical="center"/>
    </xf>
    <xf numFmtId="0" fontId="5" fillId="0" borderId="0" xfId="0" applyFont="1" applyFill="1" applyBorder="1" applyAlignment="1">
      <alignment vertical="center" wrapText="1"/>
    </xf>
    <xf numFmtId="164" fontId="7" fillId="0" borderId="0" xfId="6" applyFont="1" applyFill="1" applyBorder="1" applyAlignment="1">
      <alignment vertical="center"/>
    </xf>
    <xf numFmtId="167" fontId="6" fillId="0" borderId="0" xfId="6" applyNumberFormat="1" applyFont="1" applyFill="1" applyBorder="1" applyAlignment="1">
      <alignment horizontal="center" vertical="center"/>
    </xf>
    <xf numFmtId="167" fontId="7" fillId="0" borderId="0" xfId="6" applyNumberFormat="1" applyFont="1" applyFill="1" applyBorder="1" applyAlignment="1">
      <alignment vertical="center"/>
    </xf>
    <xf numFmtId="167" fontId="6" fillId="0" borderId="3" xfId="6" applyNumberFormat="1" applyFont="1" applyBorder="1" applyAlignment="1">
      <alignment vertical="center" wrapText="1"/>
    </xf>
    <xf numFmtId="167" fontId="7" fillId="5" borderId="3" xfId="0" applyNumberFormat="1" applyFont="1" applyFill="1" applyBorder="1" applyAlignment="1">
      <alignment horizontal="center" vertical="center"/>
    </xf>
    <xf numFmtId="167" fontId="7" fillId="5" borderId="3" xfId="6" applyNumberFormat="1" applyFont="1" applyFill="1" applyBorder="1" applyAlignment="1">
      <alignment vertical="center"/>
    </xf>
    <xf numFmtId="9" fontId="6" fillId="0" borderId="0" xfId="0" applyNumberFormat="1" applyFont="1"/>
    <xf numFmtId="167" fontId="6" fillId="0" borderId="0" xfId="0" applyNumberFormat="1" applyFont="1" applyBorder="1" applyAlignment="1">
      <alignment vertical="center" wrapText="1"/>
    </xf>
    <xf numFmtId="164" fontId="6" fillId="0" borderId="0" xfId="0" applyNumberFormat="1" applyFont="1" applyAlignment="1">
      <alignment horizontal="center"/>
    </xf>
    <xf numFmtId="2" fontId="6" fillId="0" borderId="0" xfId="0" applyNumberFormat="1" applyFont="1"/>
    <xf numFmtId="0" fontId="6" fillId="0" borderId="1" xfId="0" applyFont="1" applyBorder="1" applyAlignment="1">
      <alignment horizontal="center"/>
    </xf>
    <xf numFmtId="2" fontId="6" fillId="0" borderId="1" xfId="0" applyNumberFormat="1" applyFont="1" applyBorder="1" applyAlignment="1">
      <alignment horizontal="center"/>
    </xf>
    <xf numFmtId="2" fontId="7" fillId="5" borderId="3" xfId="0" applyNumberFormat="1" applyFont="1" applyFill="1" applyBorder="1" applyAlignment="1">
      <alignment horizontal="center" vertical="center"/>
    </xf>
    <xf numFmtId="0" fontId="6" fillId="0" borderId="1" xfId="0" applyFont="1" applyBorder="1" applyAlignment="1">
      <alignment horizontal="center"/>
    </xf>
    <xf numFmtId="0" fontId="8" fillId="0" borderId="0" xfId="0" applyFont="1"/>
    <xf numFmtId="0" fontId="6" fillId="0" borderId="0" xfId="0" applyFont="1" applyBorder="1"/>
    <xf numFmtId="0" fontId="6" fillId="0" borderId="0" xfId="0" applyFont="1" applyBorder="1" applyAlignment="1">
      <alignment horizontal="left" vertical="center"/>
    </xf>
    <xf numFmtId="0" fontId="6" fillId="0" borderId="0" xfId="0" applyFont="1" applyBorder="1" applyAlignment="1">
      <alignment horizontal="left" vertical="center" wrapText="1"/>
    </xf>
    <xf numFmtId="2" fontId="6" fillId="0" borderId="0" xfId="0" applyNumberFormat="1" applyFont="1" applyBorder="1" applyAlignment="1">
      <alignment horizontal="left" vertical="center"/>
    </xf>
    <xf numFmtId="0" fontId="10" fillId="0" borderId="0" xfId="0" applyFont="1" applyFill="1" applyBorder="1" applyAlignment="1">
      <alignment vertical="center"/>
    </xf>
    <xf numFmtId="0" fontId="6" fillId="0" borderId="1" xfId="0" applyFont="1" applyFill="1" applyBorder="1" applyAlignment="1">
      <alignment horizontal="center" vertical="center"/>
    </xf>
    <xf numFmtId="0" fontId="1" fillId="8" borderId="0" xfId="8" applyFill="1"/>
    <xf numFmtId="0" fontId="11" fillId="9" borderId="8" xfId="8" applyFont="1" applyFill="1" applyBorder="1" applyAlignment="1">
      <alignment horizontal="center" vertical="center"/>
    </xf>
    <xf numFmtId="0" fontId="1" fillId="8" borderId="0" xfId="8" quotePrefix="1" applyFill="1"/>
    <xf numFmtId="0" fontId="1" fillId="8" borderId="8" xfId="8" quotePrefix="1" applyFill="1" applyBorder="1" applyAlignment="1">
      <alignment horizontal="left" vertical="center" wrapText="1"/>
    </xf>
    <xf numFmtId="0" fontId="1" fillId="8" borderId="8" xfId="8" quotePrefix="1" applyFill="1" applyBorder="1" applyAlignment="1">
      <alignment vertical="center" wrapText="1"/>
    </xf>
    <xf numFmtId="0" fontId="0" fillId="8" borderId="8" xfId="8" quotePrefix="1" applyFont="1" applyFill="1" applyBorder="1" applyAlignment="1">
      <alignment vertical="top" wrapText="1"/>
    </xf>
    <xf numFmtId="0" fontId="1" fillId="8" borderId="9" xfId="8" applyFill="1" applyBorder="1"/>
    <xf numFmtId="0" fontId="4" fillId="0" borderId="0" xfId="9" applyFont="1" applyAlignment="1">
      <alignment vertical="center"/>
    </xf>
    <xf numFmtId="0" fontId="1" fillId="8" borderId="0" xfId="8" applyFill="1" applyAlignment="1">
      <alignment vertical="center"/>
    </xf>
    <xf numFmtId="167" fontId="7" fillId="5" borderId="3" xfId="6" applyNumberFormat="1" applyFont="1" applyFill="1" applyBorder="1" applyAlignment="1">
      <alignment horizontal="center" vertical="center"/>
    </xf>
    <xf numFmtId="167" fontId="7" fillId="5" borderId="2" xfId="6" applyNumberFormat="1" applyFont="1" applyFill="1" applyBorder="1" applyAlignment="1">
      <alignment horizontal="center" vertical="center"/>
    </xf>
    <xf numFmtId="0" fontId="5" fillId="3" borderId="6" xfId="0" applyFont="1" applyFill="1" applyBorder="1" applyAlignment="1">
      <alignment horizontal="center" vertical="center"/>
    </xf>
    <xf numFmtId="0" fontId="5" fillId="3" borderId="4"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7" fillId="5" borderId="1" xfId="0" applyFont="1" applyFill="1" applyBorder="1" applyAlignment="1">
      <alignment horizontal="center" vertical="center"/>
    </xf>
    <xf numFmtId="0" fontId="5" fillId="2" borderId="6" xfId="0" applyFont="1" applyFill="1" applyBorder="1" applyAlignment="1">
      <alignment horizontal="center" vertical="center" wrapText="1"/>
    </xf>
    <xf numFmtId="164" fontId="7" fillId="5" borderId="3" xfId="6" applyFont="1" applyFill="1" applyBorder="1" applyAlignment="1">
      <alignment horizontal="center" vertical="center"/>
    </xf>
    <xf numFmtId="164" fontId="7" fillId="5" borderId="2" xfId="6" applyFont="1" applyFill="1" applyBorder="1" applyAlignment="1">
      <alignment horizontal="center" vertical="center"/>
    </xf>
    <xf numFmtId="2" fontId="7" fillId="5" borderId="3" xfId="0" applyNumberFormat="1" applyFont="1" applyFill="1" applyBorder="1" applyAlignment="1">
      <alignment horizontal="center" vertical="center"/>
    </xf>
    <xf numFmtId="2" fontId="7" fillId="5" borderId="2" xfId="0" applyNumberFormat="1" applyFont="1" applyFill="1" applyBorder="1" applyAlignment="1">
      <alignment horizontal="center" vertical="center"/>
    </xf>
    <xf numFmtId="0" fontId="6" fillId="0" borderId="0" xfId="0" applyFont="1" applyBorder="1" applyAlignment="1">
      <alignment horizontal="center" vertical="center"/>
    </xf>
    <xf numFmtId="0" fontId="6" fillId="0" borderId="1" xfId="0" applyFont="1" applyBorder="1" applyAlignment="1">
      <alignment horizontal="center"/>
    </xf>
    <xf numFmtId="0" fontId="6" fillId="0" borderId="7" xfId="0" applyFont="1" applyBorder="1" applyAlignment="1">
      <alignment horizontal="center"/>
    </xf>
    <xf numFmtId="0" fontId="9" fillId="10" borderId="8" xfId="7" applyFill="1" applyBorder="1" applyAlignment="1">
      <alignment horizontal="center" vertical="center"/>
    </xf>
    <xf numFmtId="0" fontId="9" fillId="11" borderId="8" xfId="7" applyFill="1" applyBorder="1" applyAlignment="1">
      <alignment horizontal="center" vertical="center"/>
    </xf>
    <xf numFmtId="0" fontId="12" fillId="12" borderId="8" xfId="7" applyFont="1" applyFill="1" applyBorder="1" applyAlignment="1">
      <alignment horizontal="center" vertical="center"/>
    </xf>
    <xf numFmtId="0" fontId="9" fillId="13" borderId="8" xfId="7" applyFill="1" applyBorder="1" applyAlignment="1">
      <alignment horizontal="center" vertical="center"/>
    </xf>
    <xf numFmtId="0" fontId="9" fillId="15" borderId="8" xfId="7" applyFill="1" applyBorder="1" applyAlignment="1">
      <alignment horizontal="center" vertical="center"/>
    </xf>
    <xf numFmtId="0" fontId="13" fillId="14" borderId="8" xfId="7" applyFont="1" applyFill="1" applyBorder="1" applyAlignment="1">
      <alignment horizontal="center" vertical="center"/>
    </xf>
    <xf numFmtId="0" fontId="9" fillId="16" borderId="8" xfId="7" applyFill="1" applyBorder="1" applyAlignment="1">
      <alignment horizontal="center" vertical="center"/>
    </xf>
  </cellXfs>
  <cellStyles count="10">
    <cellStyle name="Lien hypertexte" xfId="7" builtinId="8"/>
    <cellStyle name="Lien hypertexte 2" xfId="4"/>
    <cellStyle name="Milliers" xfId="6" builtinId="3"/>
    <cellStyle name="Milliers 2" xfId="3"/>
    <cellStyle name="Normal" xfId="0" builtinId="0"/>
    <cellStyle name="Normal 2" xfId="2"/>
    <cellStyle name="Normal 2 2" xfId="8"/>
    <cellStyle name="Normal 2 3" xfId="9"/>
    <cellStyle name="Normal 3" xfId="5"/>
    <cellStyle name="Pourcentage" xfId="1" builtinId="5"/>
  </cellStyles>
  <dxfs count="0"/>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ilan_Carbone_V8.5-7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f"/>
      <sheetName val="Energie 1"/>
      <sheetName val="Energie 2"/>
      <sheetName val="Hors énergie 1"/>
      <sheetName val="Hors énergie 2"/>
      <sheetName val="Intrants 1"/>
      <sheetName val="Intrants 2"/>
      <sheetName val="Futurs emballages"/>
      <sheetName val="Déchets directs"/>
      <sheetName val="Fret"/>
      <sheetName val="Déplacements"/>
      <sheetName val="Immobilisations"/>
      <sheetName val="Utilisation"/>
      <sheetName val="Fin de vie"/>
      <sheetName val="Utilitaires"/>
      <sheetName val="Recap CO2e"/>
      <sheetName val="Ratios"/>
      <sheetName val="Bilan GES"/>
      <sheetName val="ISO 14069"/>
      <sheetName val="GHG Protocol"/>
      <sheetName val="CDP 2018"/>
      <sheetName val="Graphiques"/>
      <sheetName val="FE Energie"/>
      <sheetName val="FE Hors Energie"/>
      <sheetName val="FE Intrants"/>
      <sheetName val="FE Déchets"/>
      <sheetName val="FE Fret"/>
      <sheetName val="FE Déplacements"/>
      <sheetName val="FE Immobilisations"/>
      <sheetName val="export postes"/>
      <sheetName val="export sous-pos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586">
          <cell r="M586" t="str">
            <v>Oui</v>
          </cell>
        </row>
        <row r="587">
          <cell r="M587" t="str">
            <v>Non</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
          <cell r="J2" t="str">
            <v>Recommandations d'utilisation : 
Plusieurs lignes blanches sont laissées vierges à la fin de chaque liste : vous pouvez y ajouter les facteurs d'émission que vous souhaitez inclure aux listes déroulantes.
Si ces lignes ne suffisent pas, copiez puis insérez des lignes existantes puis assurez vous que les formules des colonnes D à G sont bien continues. Les suites de numéros des colonnes B et D ne doivent pas être interrompues. En cas de doute, faites glisser la formule de la première ligne de la liste.
Attention : les unités et type doivent correspondre à celles inscrites dans les onglets de calcul (sinon, une erreur vous avertira très vite). Pensez à indiquer vos sources en bas de page !</v>
          </cell>
        </row>
        <row r="137">
          <cell r="C137" t="str">
            <v>Machines, France continentale, Base Carbone</v>
          </cell>
        </row>
        <row r="138">
          <cell r="C138" t="str">
            <v>Mobilier, France continentale, Base Carbone</v>
          </cell>
        </row>
        <row r="139">
          <cell r="C139" t="str">
            <v>Véhicules, France continentale, Base Carbone</v>
          </cell>
        </row>
        <row r="140">
          <cell r="C140" t="str">
            <v>-</v>
          </cell>
        </row>
        <row r="141">
          <cell r="C141" t="str">
            <v>-</v>
          </cell>
        </row>
        <row r="142">
          <cell r="C142" t="str">
            <v>-</v>
          </cell>
        </row>
      </sheetData>
      <sheetData sheetId="29"/>
      <sheetData sheetId="3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alculs%20Cin&#233;ma%20TSP%20online.xls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2:E14"/>
  <sheetViews>
    <sheetView tabSelected="1" zoomScale="85" workbookViewId="0">
      <selection activeCell="D14" sqref="D14"/>
    </sheetView>
  </sheetViews>
  <sheetFormatPr baseColWidth="10" defaultColWidth="10.85546875" defaultRowHeight="15" x14ac:dyDescent="0.25"/>
  <cols>
    <col min="1" max="2" width="10.85546875" style="63"/>
    <col min="3" max="3" width="96.7109375" style="63" customWidth="1"/>
    <col min="4" max="4" width="23" style="63" customWidth="1"/>
    <col min="5" max="5" width="103.7109375" style="63" customWidth="1"/>
    <col min="6" max="16384" width="10.85546875" style="63"/>
  </cols>
  <sheetData>
    <row r="2" spans="3:5" ht="15.75" thickBot="1" x14ac:dyDescent="0.3"/>
    <row r="3" spans="3:5" ht="27" customHeight="1" thickBot="1" x14ac:dyDescent="0.3">
      <c r="C3" s="64" t="s">
        <v>58</v>
      </c>
    </row>
    <row r="4" spans="3:5" ht="74.099999999999994" customHeight="1" thickBot="1" x14ac:dyDescent="0.3">
      <c r="C4" s="68" t="s">
        <v>59</v>
      </c>
    </row>
    <row r="5" spans="3:5" ht="72" customHeight="1" thickBot="1" x14ac:dyDescent="0.3">
      <c r="C5" s="67" t="s">
        <v>57</v>
      </c>
    </row>
    <row r="6" spans="3:5" ht="72.95" customHeight="1" thickBot="1" x14ac:dyDescent="0.3">
      <c r="C6" s="66" t="s">
        <v>56</v>
      </c>
    </row>
    <row r="7" spans="3:5" ht="15.75" thickBot="1" x14ac:dyDescent="0.3">
      <c r="C7" s="65"/>
      <c r="D7" s="61"/>
      <c r="E7" s="69"/>
    </row>
    <row r="8" spans="3:5" ht="44.25" customHeight="1" thickBot="1" x14ac:dyDescent="0.3">
      <c r="C8" s="64" t="s">
        <v>55</v>
      </c>
      <c r="D8" s="91" t="s">
        <v>37</v>
      </c>
      <c r="E8" s="66" t="s">
        <v>60</v>
      </c>
    </row>
    <row r="9" spans="3:5" s="70" customFormat="1" ht="37.5" customHeight="1" thickBot="1" x14ac:dyDescent="0.3">
      <c r="D9" s="92" t="s">
        <v>48</v>
      </c>
      <c r="E9" s="66" t="s">
        <v>38</v>
      </c>
    </row>
    <row r="10" spans="3:5" s="71" customFormat="1" ht="37.5" customHeight="1" thickBot="1" x14ac:dyDescent="0.3">
      <c r="D10" s="90" t="s">
        <v>49</v>
      </c>
      <c r="E10" s="66" t="s">
        <v>39</v>
      </c>
    </row>
    <row r="11" spans="3:5" s="71" customFormat="1" ht="37.5" customHeight="1" thickBot="1" x14ac:dyDescent="0.3">
      <c r="D11" s="89" t="s">
        <v>50</v>
      </c>
      <c r="E11" s="66" t="s">
        <v>43</v>
      </c>
    </row>
    <row r="12" spans="3:5" s="71" customFormat="1" ht="37.5" customHeight="1" thickBot="1" x14ac:dyDescent="0.3">
      <c r="D12" s="93" t="s">
        <v>51</v>
      </c>
      <c r="E12" s="66" t="s">
        <v>44</v>
      </c>
    </row>
    <row r="13" spans="3:5" s="71" customFormat="1" ht="37.5" customHeight="1" thickBot="1" x14ac:dyDescent="0.3">
      <c r="D13" s="94" t="s">
        <v>52</v>
      </c>
      <c r="E13" s="66" t="s">
        <v>45</v>
      </c>
    </row>
    <row r="14" spans="3:5" s="71" customFormat="1" ht="37.5" customHeight="1" thickBot="1" x14ac:dyDescent="0.3">
      <c r="D14" s="95" t="s">
        <v>53</v>
      </c>
      <c r="E14" s="66" t="s">
        <v>54</v>
      </c>
    </row>
  </sheetData>
  <hyperlinks>
    <hyperlink ref="E9" location="'S1 Mob spect.'!A1" display="Scénario 1 : action sur la mobilité des spectateurs"/>
    <hyperlink ref="E10" location="'S2'!A1" display="Scénario 2 : action sur la mobilité des professionnels"/>
    <hyperlink ref="E11" location="'S3'!A1" display="Scénario 3 : action sur les consommations d'énergie"/>
    <hyperlink ref="E12" location="'S4'!A1" display="Scénario 4 : action sur l'alimentation"/>
    <hyperlink ref="E13" location="SCompilé!A1" display="Scénario compilé : addition de l'ensemble des leviers"/>
    <hyperlink ref="E14" r:id="rId1" location="'2050 Mobilité'!A1"/>
    <hyperlink ref="D8" location="EXPLOITATION!A1" display="EXPLOITATION"/>
    <hyperlink ref="D9" location="'S1'!A1" display="S1"/>
    <hyperlink ref="D10" location="'S2'!A1" display="S2"/>
    <hyperlink ref="D11" location="'S3'!A1" display="S3"/>
    <hyperlink ref="D12" location="'S4'!A1" display="S4"/>
    <hyperlink ref="D13" location="SCompilé!A1" display="Scompilé"/>
    <hyperlink ref="D14" location="'2050 Mobilité'!A1" display="S2050"/>
  </hyperlinks>
  <pageMargins left="0.7" right="0.7" top="0.75" bottom="0.75" header="0.3" footer="0.3"/>
  <pageSetup paperSize="9"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7:L52"/>
  <sheetViews>
    <sheetView workbookViewId="0">
      <selection activeCell="D27" sqref="D27"/>
    </sheetView>
  </sheetViews>
  <sheetFormatPr baseColWidth="10" defaultColWidth="11.5703125" defaultRowHeight="12.75" x14ac:dyDescent="0.2"/>
  <cols>
    <col min="1" max="2" width="11.5703125" style="4"/>
    <col min="3" max="3" width="16.5703125" style="4" customWidth="1"/>
    <col min="4" max="4" width="42.7109375" style="4" customWidth="1"/>
    <col min="5" max="5" width="11.5703125" style="5"/>
    <col min="6" max="8" width="11.5703125" style="4"/>
    <col min="9" max="9" width="16.28515625" style="4" customWidth="1"/>
    <col min="10" max="10" width="42.42578125" style="4" customWidth="1"/>
    <col min="11" max="16384" width="11.5703125" style="4"/>
  </cols>
  <sheetData>
    <row r="7" spans="2:12" x14ac:dyDescent="0.2">
      <c r="C7" s="4" t="s">
        <v>14</v>
      </c>
      <c r="E7" s="5">
        <v>1523</v>
      </c>
      <c r="F7" s="4" t="s">
        <v>33</v>
      </c>
    </row>
    <row r="8" spans="2:12" x14ac:dyDescent="0.2">
      <c r="I8" s="4" t="s">
        <v>21</v>
      </c>
    </row>
    <row r="9" spans="2:12" x14ac:dyDescent="0.2">
      <c r="B9" s="8"/>
      <c r="C9" s="9"/>
      <c r="D9" s="8"/>
      <c r="E9" s="11" t="s">
        <v>17</v>
      </c>
      <c r="F9" s="11" t="s">
        <v>18</v>
      </c>
      <c r="G9" s="86"/>
      <c r="H9" s="86"/>
      <c r="I9" s="9"/>
      <c r="J9" s="8"/>
      <c r="K9" s="11" t="s">
        <v>17</v>
      </c>
      <c r="L9" s="11" t="s">
        <v>18</v>
      </c>
    </row>
    <row r="10" spans="2:12" ht="13.15" customHeight="1" x14ac:dyDescent="0.2">
      <c r="B10" s="8"/>
      <c r="C10" s="74" t="s">
        <v>0</v>
      </c>
      <c r="D10" s="10" t="s">
        <v>13</v>
      </c>
      <c r="E10" s="11">
        <v>5.26</v>
      </c>
      <c r="F10" s="12">
        <f>E10/E$19</f>
        <v>3.4749289819647221E-2</v>
      </c>
      <c r="G10" s="16"/>
      <c r="H10" s="17"/>
      <c r="I10" s="74" t="s">
        <v>0</v>
      </c>
      <c r="J10" s="10" t="s">
        <v>13</v>
      </c>
      <c r="K10" s="21">
        <f>E10*$E$7+E25*$E$23+E39*$E$37</f>
        <v>11511.039999999999</v>
      </c>
      <c r="L10" s="12">
        <f>K10/K$19</f>
        <v>1.0770022101540468E-2</v>
      </c>
    </row>
    <row r="11" spans="2:12" ht="13.15" customHeight="1" x14ac:dyDescent="0.2">
      <c r="B11" s="8"/>
      <c r="C11" s="75"/>
      <c r="D11" s="10" t="s">
        <v>11</v>
      </c>
      <c r="E11" s="11">
        <v>18.75</v>
      </c>
      <c r="F11" s="12">
        <f t="shared" ref="F11:F18" si="0">E11/E$19</f>
        <v>0.12386866618220255</v>
      </c>
      <c r="G11" s="16"/>
      <c r="H11" s="17"/>
      <c r="I11" s="75"/>
      <c r="J11" s="10" t="s">
        <v>11</v>
      </c>
      <c r="K11" s="21">
        <f t="shared" ref="K11:K18" si="1">E11*$E$7+E26*$E$23+E40*$E$37</f>
        <v>28556.25</v>
      </c>
      <c r="L11" s="12">
        <f t="shared" ref="L11:L18" si="2">K11/K$19</f>
        <v>2.6717954558155909E-2</v>
      </c>
    </row>
    <row r="12" spans="2:12" ht="25.5" x14ac:dyDescent="0.2">
      <c r="B12" s="8"/>
      <c r="C12" s="6" t="s">
        <v>2</v>
      </c>
      <c r="D12" s="14" t="s">
        <v>15</v>
      </c>
      <c r="E12" s="11">
        <v>1.68</v>
      </c>
      <c r="F12" s="12">
        <f t="shared" si="0"/>
        <v>1.1098632489925347E-2</v>
      </c>
      <c r="G12" s="18"/>
      <c r="H12" s="17"/>
      <c r="I12" s="6" t="s">
        <v>2</v>
      </c>
      <c r="J12" s="14" t="s">
        <v>15</v>
      </c>
      <c r="K12" s="21">
        <f t="shared" si="1"/>
        <v>25336.920000000002</v>
      </c>
      <c r="L12" s="12">
        <f t="shared" si="2"/>
        <v>2.3705867444206843E-2</v>
      </c>
    </row>
    <row r="13" spans="2:12" ht="13.15" customHeight="1" x14ac:dyDescent="0.2">
      <c r="B13" s="8"/>
      <c r="C13" s="81" t="s">
        <v>3</v>
      </c>
      <c r="D13" s="14" t="s">
        <v>4</v>
      </c>
      <c r="E13" s="11">
        <v>107.3</v>
      </c>
      <c r="F13" s="12">
        <f t="shared" si="0"/>
        <v>0.70885908700535105</v>
      </c>
      <c r="G13" s="16"/>
      <c r="H13" s="17"/>
      <c r="I13" s="81" t="s">
        <v>3</v>
      </c>
      <c r="J13" s="14" t="s">
        <v>4</v>
      </c>
      <c r="K13" s="21">
        <f t="shared" si="1"/>
        <v>908542.56551375007</v>
      </c>
      <c r="L13" s="12">
        <f t="shared" si="2"/>
        <v>0.85005555629842022</v>
      </c>
    </row>
    <row r="14" spans="2:12" ht="13.15" customHeight="1" x14ac:dyDescent="0.2">
      <c r="B14" s="8"/>
      <c r="C14" s="76"/>
      <c r="D14" s="14" t="s">
        <v>5</v>
      </c>
      <c r="E14" s="11">
        <v>1.1499999999999999</v>
      </c>
      <c r="F14" s="12">
        <f t="shared" si="0"/>
        <v>7.5972781925084222E-3</v>
      </c>
      <c r="G14" s="16"/>
      <c r="H14" s="17"/>
      <c r="I14" s="76"/>
      <c r="J14" s="14" t="s">
        <v>5</v>
      </c>
      <c r="K14" s="21">
        <f t="shared" si="1"/>
        <v>8489.7897400000002</v>
      </c>
      <c r="L14" s="12">
        <f t="shared" si="2"/>
        <v>7.9432634355567789E-3</v>
      </c>
    </row>
    <row r="15" spans="2:12" ht="13.15" customHeight="1" x14ac:dyDescent="0.2">
      <c r="B15" s="8"/>
      <c r="C15" s="77"/>
      <c r="D15" s="14" t="s">
        <v>6</v>
      </c>
      <c r="E15" s="11">
        <v>13.13</v>
      </c>
      <c r="F15" s="12">
        <f t="shared" si="0"/>
        <v>8.6741097971857042E-2</v>
      </c>
      <c r="G15" s="16"/>
      <c r="H15" s="17"/>
      <c r="I15" s="77"/>
      <c r="J15" s="14" t="s">
        <v>6</v>
      </c>
      <c r="K15" s="21">
        <f t="shared" si="1"/>
        <v>28009.556400000001</v>
      </c>
      <c r="L15" s="12">
        <f t="shared" si="2"/>
        <v>2.6206454106869951E-2</v>
      </c>
    </row>
    <row r="16" spans="2:12" x14ac:dyDescent="0.2">
      <c r="B16" s="8"/>
      <c r="C16" s="7" t="s">
        <v>16</v>
      </c>
      <c r="D16" s="14" t="s">
        <v>9</v>
      </c>
      <c r="E16" s="11">
        <v>0</v>
      </c>
      <c r="F16" s="12">
        <f t="shared" si="0"/>
        <v>0</v>
      </c>
      <c r="G16" s="16"/>
      <c r="H16" s="17"/>
      <c r="I16" s="7" t="s">
        <v>16</v>
      </c>
      <c r="J16" s="14" t="s">
        <v>9</v>
      </c>
      <c r="K16" s="21">
        <f t="shared" si="1"/>
        <v>35939.071600000003</v>
      </c>
      <c r="L16" s="12">
        <f t="shared" si="2"/>
        <v>3.3625510417898415E-2</v>
      </c>
    </row>
    <row r="17" spans="2:12" x14ac:dyDescent="0.2">
      <c r="B17" s="8"/>
      <c r="C17" s="78" t="s">
        <v>7</v>
      </c>
      <c r="D17" s="14" t="s">
        <v>12</v>
      </c>
      <c r="E17" s="11">
        <v>1.87</v>
      </c>
      <c r="F17" s="12">
        <f t="shared" si="0"/>
        <v>1.2353834973905001E-2</v>
      </c>
      <c r="G17" s="18"/>
      <c r="H17" s="17"/>
      <c r="I17" s="78" t="s">
        <v>7</v>
      </c>
      <c r="J17" s="14" t="s">
        <v>12</v>
      </c>
      <c r="K17" s="21">
        <f t="shared" si="1"/>
        <v>8170.2679517351844</v>
      </c>
      <c r="L17" s="12">
        <f t="shared" si="2"/>
        <v>7.644310715252115E-3</v>
      </c>
    </row>
    <row r="18" spans="2:12" ht="13.15" customHeight="1" x14ac:dyDescent="0.2">
      <c r="B18" s="8"/>
      <c r="C18" s="79"/>
      <c r="D18" s="14" t="s">
        <v>8</v>
      </c>
      <c r="E18" s="11">
        <v>2.23</v>
      </c>
      <c r="F18" s="12">
        <f t="shared" si="0"/>
        <v>1.473211336460329E-2</v>
      </c>
      <c r="G18" s="18"/>
      <c r="H18" s="17"/>
      <c r="I18" s="79"/>
      <c r="J18" s="14" t="s">
        <v>8</v>
      </c>
      <c r="K18" s="21">
        <f t="shared" si="1"/>
        <v>14248.287893000001</v>
      </c>
      <c r="L18" s="12">
        <f t="shared" si="2"/>
        <v>1.333106092209926E-2</v>
      </c>
    </row>
    <row r="19" spans="2:12" ht="15" x14ac:dyDescent="0.2">
      <c r="B19" s="8"/>
      <c r="C19" s="80" t="s">
        <v>10</v>
      </c>
      <c r="D19" s="80"/>
      <c r="E19" s="84">
        <f>SUM(E10:E18)</f>
        <v>151.37</v>
      </c>
      <c r="F19" s="85"/>
      <c r="G19" s="16"/>
      <c r="H19" s="19"/>
      <c r="I19" s="80" t="s">
        <v>10</v>
      </c>
      <c r="J19" s="80"/>
      <c r="K19" s="72">
        <f>SUM(K10:K18)</f>
        <v>1068803.7490984853</v>
      </c>
      <c r="L19" s="73"/>
    </row>
    <row r="20" spans="2:12" x14ac:dyDescent="0.2">
      <c r="B20" s="8"/>
      <c r="C20" s="8"/>
      <c r="D20" s="8"/>
      <c r="E20" s="15"/>
      <c r="F20" s="8"/>
      <c r="G20" s="19"/>
      <c r="H20" s="19"/>
      <c r="I20" s="20"/>
      <c r="J20" s="20"/>
    </row>
    <row r="23" spans="2:12" x14ac:dyDescent="0.2">
      <c r="C23" s="4" t="s">
        <v>19</v>
      </c>
      <c r="E23" s="5">
        <v>394</v>
      </c>
      <c r="F23" s="4" t="s">
        <v>33</v>
      </c>
      <c r="I23" s="4" t="s">
        <v>22</v>
      </c>
    </row>
    <row r="24" spans="2:12" x14ac:dyDescent="0.2">
      <c r="C24" s="9"/>
      <c r="D24" s="8"/>
      <c r="E24" s="11" t="s">
        <v>17</v>
      </c>
      <c r="F24" s="11" t="s">
        <v>18</v>
      </c>
      <c r="I24" s="9"/>
      <c r="J24" s="8"/>
      <c r="K24" s="11" t="s">
        <v>17</v>
      </c>
      <c r="L24" s="11" t="s">
        <v>18</v>
      </c>
    </row>
    <row r="25" spans="2:12" ht="25.5" x14ac:dyDescent="0.25">
      <c r="C25" s="74" t="s">
        <v>0</v>
      </c>
      <c r="D25" s="10" t="s">
        <v>13</v>
      </c>
      <c r="E25" s="2">
        <v>6.86</v>
      </c>
      <c r="F25" s="1">
        <f>E25/E$34</f>
        <v>5.3912168746659966E-3</v>
      </c>
      <c r="I25" s="74" t="s">
        <v>0</v>
      </c>
      <c r="J25" s="10" t="s">
        <v>13</v>
      </c>
      <c r="K25" s="21">
        <f>K10</f>
        <v>11511.039999999999</v>
      </c>
      <c r="L25" s="12">
        <f>K25/K$33</f>
        <v>7.1826750199394024E-2</v>
      </c>
    </row>
    <row r="26" spans="2:12" ht="15" x14ac:dyDescent="0.25">
      <c r="C26" s="75"/>
      <c r="D26" s="10" t="s">
        <v>11</v>
      </c>
      <c r="E26" s="2">
        <v>0</v>
      </c>
      <c r="F26" s="1">
        <f t="shared" ref="F26:F33" si="3">E26/E$34</f>
        <v>0</v>
      </c>
      <c r="I26" s="75"/>
      <c r="J26" s="10" t="s">
        <v>11</v>
      </c>
      <c r="K26" s="21">
        <f>K11</f>
        <v>28556.25</v>
      </c>
      <c r="L26" s="12">
        <f t="shared" ref="L26:L32" si="4">K26/K$33</f>
        <v>0.17818569263780212</v>
      </c>
    </row>
    <row r="27" spans="2:12" ht="25.5" x14ac:dyDescent="0.25">
      <c r="C27" s="6" t="s">
        <v>2</v>
      </c>
      <c r="D27" s="14" t="s">
        <v>15</v>
      </c>
      <c r="E27" s="3">
        <v>34.200000000000003</v>
      </c>
      <c r="F27" s="1">
        <f t="shared" si="3"/>
        <v>2.6877495206060802E-2</v>
      </c>
      <c r="I27" s="6" t="s">
        <v>2</v>
      </c>
      <c r="J27" s="14" t="s">
        <v>15</v>
      </c>
      <c r="K27" s="21">
        <f>K12</f>
        <v>25336.920000000002</v>
      </c>
      <c r="L27" s="12">
        <f t="shared" si="4"/>
        <v>0.15809767177092865</v>
      </c>
    </row>
    <row r="28" spans="2:12" ht="15" x14ac:dyDescent="0.25">
      <c r="C28" s="81" t="s">
        <v>3</v>
      </c>
      <c r="D28" s="14" t="s">
        <v>4</v>
      </c>
      <c r="E28" s="2">
        <v>1142.5</v>
      </c>
      <c r="F28" s="1">
        <f t="shared" si="3"/>
        <v>0.89788123605042292</v>
      </c>
      <c r="I28" s="76" t="s">
        <v>3</v>
      </c>
      <c r="J28" s="14" t="s">
        <v>5</v>
      </c>
      <c r="K28" s="21">
        <f>K14</f>
        <v>8489.7897400000002</v>
      </c>
      <c r="L28" s="12">
        <f t="shared" si="4"/>
        <v>5.2974710095730564E-2</v>
      </c>
    </row>
    <row r="29" spans="2:12" ht="15" x14ac:dyDescent="0.25">
      <c r="C29" s="76"/>
      <c r="D29" s="14" t="s">
        <v>5</v>
      </c>
      <c r="E29" s="2">
        <v>5.23</v>
      </c>
      <c r="F29" s="1">
        <f t="shared" si="3"/>
        <v>4.1102134481783041E-3</v>
      </c>
      <c r="I29" s="77"/>
      <c r="J29" s="14" t="s">
        <v>6</v>
      </c>
      <c r="K29" s="21">
        <f>K15</f>
        <v>28009.556400000001</v>
      </c>
      <c r="L29" s="12">
        <f t="shared" si="4"/>
        <v>0.17477442618031372</v>
      </c>
    </row>
    <row r="30" spans="2:12" ht="15" x14ac:dyDescent="0.25">
      <c r="C30" s="77"/>
      <c r="D30" s="14" t="s">
        <v>6</v>
      </c>
      <c r="E30" s="2">
        <v>15.32</v>
      </c>
      <c r="F30" s="1">
        <f t="shared" si="3"/>
        <v>1.2039860425638932E-2</v>
      </c>
      <c r="I30" s="7" t="s">
        <v>16</v>
      </c>
      <c r="J30" s="14" t="s">
        <v>9</v>
      </c>
      <c r="K30" s="21">
        <f>K16</f>
        <v>35939.071600000003</v>
      </c>
      <c r="L30" s="12">
        <f t="shared" si="4"/>
        <v>0.22425312727706068</v>
      </c>
    </row>
    <row r="31" spans="2:12" ht="15" x14ac:dyDescent="0.25">
      <c r="C31" s="7" t="s">
        <v>16</v>
      </c>
      <c r="D31" s="14" t="s">
        <v>9</v>
      </c>
      <c r="E31" s="2">
        <v>41.84</v>
      </c>
      <c r="F31" s="1">
        <f t="shared" si="3"/>
        <v>3.2881707585426433E-2</v>
      </c>
      <c r="I31" s="78" t="s">
        <v>7</v>
      </c>
      <c r="J31" s="14" t="s">
        <v>12</v>
      </c>
      <c r="K31" s="21">
        <f>K17</f>
        <v>8170.2679517351844</v>
      </c>
      <c r="L31" s="12">
        <f t="shared" si="4"/>
        <v>5.0980953522131604E-2</v>
      </c>
    </row>
    <row r="32" spans="2:12" ht="15" x14ac:dyDescent="0.25">
      <c r="C32" s="78" t="s">
        <v>7</v>
      </c>
      <c r="D32" s="14" t="s">
        <v>12</v>
      </c>
      <c r="E32" s="3">
        <v>8.9700000000000006</v>
      </c>
      <c r="F32" s="1">
        <f t="shared" si="3"/>
        <v>7.0494483040457719E-3</v>
      </c>
      <c r="I32" s="79"/>
      <c r="J32" s="14" t="s">
        <v>8</v>
      </c>
      <c r="K32" s="21">
        <f>K18</f>
        <v>14248.287893000001</v>
      </c>
      <c r="L32" s="12">
        <f t="shared" si="4"/>
        <v>8.8906668316638751E-2</v>
      </c>
    </row>
    <row r="33" spans="3:12" ht="15" x14ac:dyDescent="0.25">
      <c r="C33" s="79"/>
      <c r="D33" s="14" t="s">
        <v>8</v>
      </c>
      <c r="E33" s="3">
        <v>17.52</v>
      </c>
      <c r="F33" s="1">
        <f t="shared" si="3"/>
        <v>1.3768822105560971E-2</v>
      </c>
      <c r="I33" s="80" t="s">
        <v>10</v>
      </c>
      <c r="J33" s="80"/>
      <c r="K33" s="72">
        <f>SUM(K25:K32)</f>
        <v>160261.18358473518</v>
      </c>
      <c r="L33" s="73"/>
    </row>
    <row r="34" spans="3:12" ht="15" x14ac:dyDescent="0.2">
      <c r="C34" s="80" t="s">
        <v>10</v>
      </c>
      <c r="D34" s="80"/>
      <c r="E34" s="84">
        <f>SUM(E25:E33)</f>
        <v>1272.4399999999998</v>
      </c>
      <c r="F34" s="85"/>
    </row>
    <row r="37" spans="3:12" x14ac:dyDescent="0.2">
      <c r="C37" s="4" t="s">
        <v>20</v>
      </c>
      <c r="E37" s="5">
        <v>129</v>
      </c>
      <c r="F37" s="4" t="s">
        <v>33</v>
      </c>
    </row>
    <row r="38" spans="3:12" x14ac:dyDescent="0.2">
      <c r="C38" s="9"/>
      <c r="D38" s="8"/>
      <c r="E38" s="11" t="s">
        <v>17</v>
      </c>
      <c r="F38" s="11" t="s">
        <v>18</v>
      </c>
    </row>
    <row r="39" spans="3:12" ht="25.5" x14ac:dyDescent="0.25">
      <c r="C39" s="74" t="s">
        <v>0</v>
      </c>
      <c r="D39" s="10" t="s">
        <v>13</v>
      </c>
      <c r="E39" s="2">
        <v>6.18</v>
      </c>
      <c r="F39" s="1">
        <f>E39/E$48</f>
        <v>2.3661584029494162E-3</v>
      </c>
    </row>
    <row r="40" spans="3:12" ht="15" x14ac:dyDescent="0.25">
      <c r="C40" s="75"/>
      <c r="D40" s="10" t="s">
        <v>11</v>
      </c>
      <c r="E40" s="2">
        <v>0</v>
      </c>
      <c r="F40" s="1">
        <f t="shared" ref="F40:F47" si="5">E40/E$48</f>
        <v>0</v>
      </c>
    </row>
    <row r="41" spans="3:12" ht="25.5" x14ac:dyDescent="0.25">
      <c r="C41" s="6" t="s">
        <v>2</v>
      </c>
      <c r="D41" s="14" t="s">
        <v>15</v>
      </c>
      <c r="E41" s="2">
        <v>72.12</v>
      </c>
      <c r="F41" s="1">
        <f t="shared" si="5"/>
        <v>2.76128388383029E-2</v>
      </c>
    </row>
    <row r="42" spans="3:12" ht="15" x14ac:dyDescent="0.25">
      <c r="C42" s="81" t="s">
        <v>3</v>
      </c>
      <c r="D42" s="14" t="s">
        <v>4</v>
      </c>
      <c r="E42" s="2">
        <v>2286.6640737500002</v>
      </c>
      <c r="F42" s="1">
        <f t="shared" si="5"/>
        <v>0.87550314123399786</v>
      </c>
    </row>
    <row r="43" spans="3:12" ht="15" x14ac:dyDescent="0.25">
      <c r="C43" s="76"/>
      <c r="D43" s="14" t="s">
        <v>5</v>
      </c>
      <c r="E43" s="3">
        <v>36.261393333333338</v>
      </c>
      <c r="F43" s="1">
        <f t="shared" si="5"/>
        <v>1.3883527595197512E-2</v>
      </c>
    </row>
    <row r="44" spans="3:12" ht="15" x14ac:dyDescent="0.25">
      <c r="C44" s="77"/>
      <c r="D44" s="14" t="s">
        <v>6</v>
      </c>
      <c r="E44" s="2">
        <v>15.3216</v>
      </c>
      <c r="F44" s="1">
        <f t="shared" si="5"/>
        <v>5.8662350463802235E-3</v>
      </c>
    </row>
    <row r="45" spans="3:12" ht="15" x14ac:dyDescent="0.25">
      <c r="C45" s="7" t="s">
        <v>16</v>
      </c>
      <c r="D45" s="14" t="s">
        <v>9</v>
      </c>
      <c r="E45" s="2">
        <v>150.80706666666666</v>
      </c>
      <c r="F45" s="1">
        <f t="shared" si="5"/>
        <v>5.7740033659787401E-2</v>
      </c>
    </row>
    <row r="46" spans="3:12" ht="15" x14ac:dyDescent="0.25">
      <c r="C46" s="78" t="s">
        <v>7</v>
      </c>
      <c r="D46" s="14" t="s">
        <v>12</v>
      </c>
      <c r="E46" s="2">
        <v>13.861069393296001</v>
      </c>
      <c r="F46" s="1">
        <f t="shared" si="5"/>
        <v>5.3070365402608901E-3</v>
      </c>
    </row>
    <row r="47" spans="3:12" ht="15" x14ac:dyDescent="0.25">
      <c r="C47" s="79"/>
      <c r="D47" s="14" t="s">
        <v>8</v>
      </c>
      <c r="E47" s="2">
        <v>30.613317000000002</v>
      </c>
      <c r="F47" s="1">
        <f t="shared" si="5"/>
        <v>1.1721028683123661E-2</v>
      </c>
    </row>
    <row r="48" spans="3:12" ht="15" x14ac:dyDescent="0.2">
      <c r="C48" s="80" t="s">
        <v>10</v>
      </c>
      <c r="D48" s="80"/>
      <c r="E48" s="82">
        <f>SUM(E39:E47)</f>
        <v>2611.8285201432964</v>
      </c>
      <c r="F48" s="83"/>
    </row>
    <row r="52" spans="3:5" x14ac:dyDescent="0.2">
      <c r="C52" s="51"/>
      <c r="D52" s="51"/>
      <c r="E52" s="50"/>
    </row>
  </sheetData>
  <mergeCells count="26">
    <mergeCell ref="G9:H9"/>
    <mergeCell ref="C10:C11"/>
    <mergeCell ref="C13:C15"/>
    <mergeCell ref="C17:C18"/>
    <mergeCell ref="C25:C26"/>
    <mergeCell ref="C28:C30"/>
    <mergeCell ref="C32:C33"/>
    <mergeCell ref="C34:D34"/>
    <mergeCell ref="E19:F19"/>
    <mergeCell ref="E34:F34"/>
    <mergeCell ref="I10:I11"/>
    <mergeCell ref="I13:I15"/>
    <mergeCell ref="I17:I18"/>
    <mergeCell ref="I19:J19"/>
    <mergeCell ref="C19:D19"/>
    <mergeCell ref="C39:C40"/>
    <mergeCell ref="C42:C44"/>
    <mergeCell ref="C46:C47"/>
    <mergeCell ref="C48:D48"/>
    <mergeCell ref="E48:F48"/>
    <mergeCell ref="K19:L19"/>
    <mergeCell ref="I25:I26"/>
    <mergeCell ref="I28:I29"/>
    <mergeCell ref="I31:I32"/>
    <mergeCell ref="I33:J33"/>
    <mergeCell ref="K33:L3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B2:M48"/>
  <sheetViews>
    <sheetView workbookViewId="0">
      <selection activeCell="F7" sqref="F7"/>
    </sheetView>
  </sheetViews>
  <sheetFormatPr baseColWidth="10" defaultColWidth="11.5703125" defaultRowHeight="12.75" x14ac:dyDescent="0.2"/>
  <cols>
    <col min="1" max="2" width="11.5703125" style="4"/>
    <col min="3" max="3" width="16.5703125" style="4" customWidth="1"/>
    <col min="4" max="4" width="42.7109375" style="4" customWidth="1"/>
    <col min="5" max="5" width="11.5703125" style="5"/>
    <col min="6" max="8" width="11.5703125" style="4"/>
    <col min="9" max="9" width="16.28515625" style="4" customWidth="1"/>
    <col min="10" max="10" width="42.42578125" style="4" customWidth="1"/>
    <col min="11" max="16384" width="11.5703125" style="4"/>
  </cols>
  <sheetData>
    <row r="2" spans="2:12" ht="20.25" x14ac:dyDescent="0.3">
      <c r="B2" s="56" t="s">
        <v>34</v>
      </c>
    </row>
    <row r="7" spans="2:12" x14ac:dyDescent="0.2">
      <c r="C7" s="4" t="s">
        <v>14</v>
      </c>
      <c r="E7" s="5">
        <v>1523</v>
      </c>
    </row>
    <row r="8" spans="2:12" x14ac:dyDescent="0.2">
      <c r="I8" s="4" t="s">
        <v>21</v>
      </c>
    </row>
    <row r="9" spans="2:12" x14ac:dyDescent="0.2">
      <c r="B9" s="8"/>
      <c r="C9" s="9"/>
      <c r="D9" s="8"/>
      <c r="E9" s="11" t="s">
        <v>17</v>
      </c>
      <c r="F9" s="11" t="s">
        <v>18</v>
      </c>
      <c r="G9" s="86"/>
      <c r="H9" s="86"/>
      <c r="I9" s="9"/>
      <c r="J9" s="8"/>
      <c r="K9" s="11" t="s">
        <v>17</v>
      </c>
      <c r="L9" s="11" t="s">
        <v>18</v>
      </c>
    </row>
    <row r="10" spans="2:12" ht="13.15" customHeight="1" x14ac:dyDescent="0.2">
      <c r="B10" s="8"/>
      <c r="C10" s="74" t="s">
        <v>0</v>
      </c>
      <c r="D10" s="10" t="s">
        <v>13</v>
      </c>
      <c r="E10" s="11">
        <v>5.26</v>
      </c>
      <c r="F10" s="12">
        <f>E10/E$19</f>
        <v>4.0489569702101456E-2</v>
      </c>
      <c r="G10" s="16"/>
      <c r="H10" s="17"/>
      <c r="I10" s="74" t="s">
        <v>0</v>
      </c>
      <c r="J10" s="10" t="s">
        <v>13</v>
      </c>
      <c r="K10" s="21">
        <f>E10*$E$7+E25*$E$23+E39*$E$37</f>
        <v>11511.039999999999</v>
      </c>
      <c r="L10" s="12">
        <f>K10/K$19</f>
        <v>1.2306221206616423E-2</v>
      </c>
    </row>
    <row r="11" spans="2:12" ht="13.15" customHeight="1" x14ac:dyDescent="0.2">
      <c r="B11" s="8"/>
      <c r="C11" s="75"/>
      <c r="D11" s="10" t="s">
        <v>11</v>
      </c>
      <c r="E11" s="11">
        <v>18.75</v>
      </c>
      <c r="F11" s="12">
        <f t="shared" ref="F11:F18" si="0">E11/E$19</f>
        <v>0.14433069047802324</v>
      </c>
      <c r="G11" s="16"/>
      <c r="H11" s="17"/>
      <c r="I11" s="75"/>
      <c r="J11" s="10" t="s">
        <v>11</v>
      </c>
      <c r="K11" s="21">
        <f t="shared" ref="K11:K18" si="1">E11*$E$7+E26*$E$23+E40*$E$37</f>
        <v>28556.25</v>
      </c>
      <c r="L11" s="12">
        <f t="shared" ref="L11:L18" si="2">K11/K$19</f>
        <v>3.0528912186165654E-2</v>
      </c>
    </row>
    <row r="12" spans="2:12" ht="25.5" x14ac:dyDescent="0.2">
      <c r="B12" s="8"/>
      <c r="C12" s="6" t="s">
        <v>2</v>
      </c>
      <c r="D12" s="14" t="s">
        <v>15</v>
      </c>
      <c r="E12" s="11">
        <v>1.68</v>
      </c>
      <c r="F12" s="12">
        <f t="shared" si="0"/>
        <v>1.2932029866830883E-2</v>
      </c>
      <c r="G12" s="18"/>
      <c r="H12" s="17"/>
      <c r="I12" s="6" t="s">
        <v>2</v>
      </c>
      <c r="J12" s="14" t="s">
        <v>15</v>
      </c>
      <c r="K12" s="21">
        <f t="shared" si="1"/>
        <v>25336.920000000002</v>
      </c>
      <c r="L12" s="12">
        <f t="shared" si="2"/>
        <v>2.7087191271539655E-2</v>
      </c>
    </row>
    <row r="13" spans="2:12" ht="13.15" customHeight="1" x14ac:dyDescent="0.2">
      <c r="B13" s="8"/>
      <c r="C13" s="81" t="s">
        <v>3</v>
      </c>
      <c r="D13" s="14" t="s">
        <v>4</v>
      </c>
      <c r="E13" s="24">
        <v>85.84</v>
      </c>
      <c r="F13" s="12">
        <f t="shared" si="0"/>
        <v>0.66076514510045425</v>
      </c>
      <c r="G13" s="16"/>
      <c r="H13" s="17"/>
      <c r="I13" s="81" t="s">
        <v>3</v>
      </c>
      <c r="J13" s="14" t="s">
        <v>4</v>
      </c>
      <c r="K13" s="21">
        <f t="shared" si="1"/>
        <v>775122.62</v>
      </c>
      <c r="L13" s="12">
        <f t="shared" si="2"/>
        <v>0.82866799385390755</v>
      </c>
    </row>
    <row r="14" spans="2:12" ht="13.15" customHeight="1" x14ac:dyDescent="0.2">
      <c r="B14" s="8"/>
      <c r="C14" s="76"/>
      <c r="D14" s="14" t="s">
        <v>5</v>
      </c>
      <c r="E14" s="11">
        <v>1.1499999999999999</v>
      </c>
      <c r="F14" s="12">
        <f t="shared" si="0"/>
        <v>8.8522823493187592E-3</v>
      </c>
      <c r="G14" s="16"/>
      <c r="H14" s="17"/>
      <c r="I14" s="76"/>
      <c r="J14" s="14" t="s">
        <v>5</v>
      </c>
      <c r="K14" s="21">
        <f t="shared" si="1"/>
        <v>8489.7897400000002</v>
      </c>
      <c r="L14" s="12">
        <f t="shared" si="2"/>
        <v>9.076263355709175E-3</v>
      </c>
    </row>
    <row r="15" spans="2:12" ht="13.15" customHeight="1" x14ac:dyDescent="0.2">
      <c r="B15" s="8"/>
      <c r="C15" s="77"/>
      <c r="D15" s="14" t="s">
        <v>6</v>
      </c>
      <c r="E15" s="11">
        <v>13.13</v>
      </c>
      <c r="F15" s="12">
        <f t="shared" si="0"/>
        <v>0.10106997151874375</v>
      </c>
      <c r="G15" s="16"/>
      <c r="H15" s="17"/>
      <c r="I15" s="77"/>
      <c r="J15" s="14" t="s">
        <v>6</v>
      </c>
      <c r="K15" s="21">
        <f t="shared" si="1"/>
        <v>28009.556400000001</v>
      </c>
      <c r="L15" s="12">
        <f t="shared" si="2"/>
        <v>2.9944453060505291E-2</v>
      </c>
    </row>
    <row r="16" spans="2:12" x14ac:dyDescent="0.2">
      <c r="B16" s="8"/>
      <c r="C16" s="7" t="s">
        <v>16</v>
      </c>
      <c r="D16" s="14" t="s">
        <v>9</v>
      </c>
      <c r="E16" s="11">
        <v>0</v>
      </c>
      <c r="F16" s="12">
        <f t="shared" si="0"/>
        <v>0</v>
      </c>
      <c r="G16" s="16"/>
      <c r="H16" s="17"/>
      <c r="I16" s="7" t="s">
        <v>16</v>
      </c>
      <c r="J16" s="14" t="s">
        <v>9</v>
      </c>
      <c r="K16" s="21">
        <f t="shared" si="1"/>
        <v>35939.071600000003</v>
      </c>
      <c r="L16" s="12">
        <f t="shared" si="2"/>
        <v>3.8421738180913809E-2</v>
      </c>
    </row>
    <row r="17" spans="2:13" x14ac:dyDescent="0.2">
      <c r="B17" s="8"/>
      <c r="C17" s="78" t="s">
        <v>7</v>
      </c>
      <c r="D17" s="14" t="s">
        <v>12</v>
      </c>
      <c r="E17" s="11">
        <v>1.87</v>
      </c>
      <c r="F17" s="12">
        <f t="shared" si="0"/>
        <v>1.4394580863674853E-2</v>
      </c>
      <c r="G17" s="18"/>
      <c r="H17" s="17"/>
      <c r="I17" s="78" t="s">
        <v>7</v>
      </c>
      <c r="J17" s="14" t="s">
        <v>12</v>
      </c>
      <c r="K17" s="21">
        <f t="shared" si="1"/>
        <v>8170.2679517351844</v>
      </c>
      <c r="L17" s="12">
        <f t="shared" si="2"/>
        <v>8.7346690421875057E-3</v>
      </c>
    </row>
    <row r="18" spans="2:13" ht="13.15" customHeight="1" x14ac:dyDescent="0.2">
      <c r="B18" s="8"/>
      <c r="C18" s="79"/>
      <c r="D18" s="14" t="s">
        <v>8</v>
      </c>
      <c r="E18" s="11">
        <v>2.23</v>
      </c>
      <c r="F18" s="12">
        <f t="shared" si="0"/>
        <v>1.7165730120852898E-2</v>
      </c>
      <c r="G18" s="18"/>
      <c r="H18" s="17"/>
      <c r="I18" s="79"/>
      <c r="J18" s="14" t="s">
        <v>8</v>
      </c>
      <c r="K18" s="21">
        <f t="shared" si="1"/>
        <v>14248.287893000001</v>
      </c>
      <c r="L18" s="12">
        <f t="shared" si="2"/>
        <v>1.5232557842454954E-2</v>
      </c>
    </row>
    <row r="19" spans="2:13" ht="15" x14ac:dyDescent="0.2">
      <c r="B19" s="8"/>
      <c r="C19" s="80" t="s">
        <v>10</v>
      </c>
      <c r="D19" s="80"/>
      <c r="E19" s="84">
        <f>SUM(E10:E18)</f>
        <v>129.91</v>
      </c>
      <c r="F19" s="85"/>
      <c r="G19" s="17">
        <f>(E19-EXPLOITATION!E19)/EXPLOITATION!E19</f>
        <v>-0.14177181740107028</v>
      </c>
      <c r="H19" s="19"/>
      <c r="I19" s="80" t="s">
        <v>10</v>
      </c>
      <c r="J19" s="80"/>
      <c r="K19" s="72">
        <f>SUM(K10:K18)</f>
        <v>935383.80358473514</v>
      </c>
      <c r="L19" s="73"/>
      <c r="M19" s="22">
        <f>(K19-EXPLOITATION!K19)/EXPLOITATION!K19</f>
        <v>-0.12483109796937675</v>
      </c>
    </row>
    <row r="20" spans="2:13" x14ac:dyDescent="0.2">
      <c r="B20" s="8"/>
      <c r="C20" s="8"/>
      <c r="D20" s="8"/>
      <c r="E20" s="15"/>
      <c r="F20" s="8"/>
      <c r="G20" s="19"/>
      <c r="H20" s="19"/>
      <c r="I20" s="20"/>
      <c r="J20" s="20"/>
    </row>
    <row r="23" spans="2:13" x14ac:dyDescent="0.2">
      <c r="C23" s="4" t="s">
        <v>19</v>
      </c>
      <c r="E23" s="5">
        <v>394</v>
      </c>
      <c r="I23" s="4" t="s">
        <v>22</v>
      </c>
    </row>
    <row r="24" spans="2:13" x14ac:dyDescent="0.2">
      <c r="C24" s="9"/>
      <c r="D24" s="8"/>
      <c r="E24" s="11" t="s">
        <v>17</v>
      </c>
      <c r="F24" s="11" t="s">
        <v>18</v>
      </c>
      <c r="I24" s="9"/>
      <c r="J24" s="8"/>
      <c r="K24" s="11" t="s">
        <v>17</v>
      </c>
      <c r="L24" s="11" t="s">
        <v>18</v>
      </c>
    </row>
    <row r="25" spans="2:13" ht="25.5" x14ac:dyDescent="0.25">
      <c r="C25" s="74" t="s">
        <v>0</v>
      </c>
      <c r="D25" s="10" t="s">
        <v>13</v>
      </c>
      <c r="E25" s="2">
        <v>6.86</v>
      </c>
      <c r="F25" s="1">
        <f>E25/E$34</f>
        <v>6.1417802209608411E-3</v>
      </c>
      <c r="I25" s="74" t="s">
        <v>0</v>
      </c>
      <c r="J25" s="10" t="s">
        <v>13</v>
      </c>
      <c r="K25" s="21">
        <f>K10</f>
        <v>11511.039999999999</v>
      </c>
      <c r="L25" s="12">
        <f>K25/K$33</f>
        <v>7.1826750199394024E-2</v>
      </c>
    </row>
    <row r="26" spans="2:13" ht="15" x14ac:dyDescent="0.25">
      <c r="C26" s="75"/>
      <c r="D26" s="10" t="s">
        <v>11</v>
      </c>
      <c r="E26" s="2">
        <v>0</v>
      </c>
      <c r="F26" s="1">
        <f t="shared" ref="F26:F33" si="3">E26/E$34</f>
        <v>0</v>
      </c>
      <c r="I26" s="75"/>
      <c r="J26" s="10" t="s">
        <v>11</v>
      </c>
      <c r="K26" s="21">
        <f>K11</f>
        <v>28556.25</v>
      </c>
      <c r="L26" s="12">
        <f t="shared" ref="L26:L32" si="4">K26/K$33</f>
        <v>0.17818569263780212</v>
      </c>
    </row>
    <row r="27" spans="2:13" ht="25.5" x14ac:dyDescent="0.25">
      <c r="C27" s="6" t="s">
        <v>2</v>
      </c>
      <c r="D27" s="14" t="s">
        <v>15</v>
      </c>
      <c r="E27" s="3">
        <v>34.200000000000003</v>
      </c>
      <c r="F27" s="1">
        <f t="shared" si="3"/>
        <v>3.0619370780883493E-2</v>
      </c>
      <c r="I27" s="6" t="s">
        <v>2</v>
      </c>
      <c r="J27" s="14" t="s">
        <v>15</v>
      </c>
      <c r="K27" s="21">
        <f>K12</f>
        <v>25336.920000000002</v>
      </c>
      <c r="L27" s="12">
        <f t="shared" si="4"/>
        <v>0.15809767177092865</v>
      </c>
    </row>
    <row r="28" spans="2:13" ht="15" x14ac:dyDescent="0.25">
      <c r="C28" s="81" t="s">
        <v>3</v>
      </c>
      <c r="D28" s="14" t="s">
        <v>4</v>
      </c>
      <c r="E28" s="23">
        <v>987</v>
      </c>
      <c r="F28" s="1">
        <f t="shared" si="3"/>
        <v>0.883664297097427</v>
      </c>
      <c r="I28" s="76" t="s">
        <v>3</v>
      </c>
      <c r="J28" s="14" t="s">
        <v>5</v>
      </c>
      <c r="K28" s="21">
        <f>K14</f>
        <v>8489.7897400000002</v>
      </c>
      <c r="L28" s="12">
        <f t="shared" si="4"/>
        <v>5.2974710095730564E-2</v>
      </c>
    </row>
    <row r="29" spans="2:13" ht="15" x14ac:dyDescent="0.25">
      <c r="C29" s="76"/>
      <c r="D29" s="14" t="s">
        <v>5</v>
      </c>
      <c r="E29" s="2">
        <v>5.23</v>
      </c>
      <c r="F29" s="1">
        <f t="shared" si="3"/>
        <v>4.6824359410532358E-3</v>
      </c>
      <c r="I29" s="77"/>
      <c r="J29" s="14" t="s">
        <v>6</v>
      </c>
      <c r="K29" s="21">
        <f>K15</f>
        <v>28009.556400000001</v>
      </c>
      <c r="L29" s="12">
        <f t="shared" si="4"/>
        <v>0.17477442618031372</v>
      </c>
    </row>
    <row r="30" spans="2:13" ht="15" x14ac:dyDescent="0.25">
      <c r="C30" s="77"/>
      <c r="D30" s="14" t="s">
        <v>6</v>
      </c>
      <c r="E30" s="2">
        <v>15.32</v>
      </c>
      <c r="F30" s="1">
        <f t="shared" si="3"/>
        <v>1.3716045624653072E-2</v>
      </c>
      <c r="I30" s="7" t="s">
        <v>16</v>
      </c>
      <c r="J30" s="14" t="s">
        <v>9</v>
      </c>
      <c r="K30" s="21">
        <f>K16</f>
        <v>35939.071600000003</v>
      </c>
      <c r="L30" s="12">
        <f t="shared" si="4"/>
        <v>0.22425312727706068</v>
      </c>
    </row>
    <row r="31" spans="2:13" ht="15" x14ac:dyDescent="0.25">
      <c r="C31" s="7" t="s">
        <v>16</v>
      </c>
      <c r="D31" s="14" t="s">
        <v>9</v>
      </c>
      <c r="E31" s="2">
        <v>41.84</v>
      </c>
      <c r="F31" s="1">
        <f t="shared" si="3"/>
        <v>3.7459487528425886E-2</v>
      </c>
      <c r="I31" s="78" t="s">
        <v>7</v>
      </c>
      <c r="J31" s="14" t="s">
        <v>12</v>
      </c>
      <c r="K31" s="21">
        <f>K17</f>
        <v>8170.2679517351844</v>
      </c>
      <c r="L31" s="12">
        <f t="shared" si="4"/>
        <v>5.0980953522131604E-2</v>
      </c>
    </row>
    <row r="32" spans="2:13" ht="15" x14ac:dyDescent="0.25">
      <c r="C32" s="78" t="s">
        <v>7</v>
      </c>
      <c r="D32" s="14" t="s">
        <v>12</v>
      </c>
      <c r="E32" s="3">
        <v>8.9700000000000006</v>
      </c>
      <c r="F32" s="1">
        <f t="shared" si="3"/>
        <v>8.030870055687863E-3</v>
      </c>
      <c r="I32" s="79"/>
      <c r="J32" s="14" t="s">
        <v>8</v>
      </c>
      <c r="K32" s="21">
        <f>K18</f>
        <v>14248.287893000001</v>
      </c>
      <c r="L32" s="12">
        <f t="shared" si="4"/>
        <v>8.8906668316638751E-2</v>
      </c>
    </row>
    <row r="33" spans="3:12" ht="15" x14ac:dyDescent="0.25">
      <c r="C33" s="79"/>
      <c r="D33" s="14" t="s">
        <v>8</v>
      </c>
      <c r="E33" s="3">
        <v>17.52</v>
      </c>
      <c r="F33" s="1">
        <f t="shared" si="3"/>
        <v>1.5685712750908735E-2</v>
      </c>
      <c r="I33" s="80" t="s">
        <v>10</v>
      </c>
      <c r="J33" s="80"/>
      <c r="K33" s="72">
        <f>SUM(K25:K32)</f>
        <v>160261.18358473518</v>
      </c>
      <c r="L33" s="73"/>
    </row>
    <row r="34" spans="3:12" ht="15" x14ac:dyDescent="0.2">
      <c r="C34" s="80" t="s">
        <v>10</v>
      </c>
      <c r="D34" s="80"/>
      <c r="E34" s="84">
        <f>SUM(E25:E33)</f>
        <v>1116.9399999999998</v>
      </c>
      <c r="F34" s="85"/>
      <c r="G34" s="17">
        <f>(E34-EXPLOITATION!E34)/EXPLOITATION!E34</f>
        <v>-0.12220615510358054</v>
      </c>
    </row>
    <row r="37" spans="3:12" x14ac:dyDescent="0.2">
      <c r="C37" s="4" t="s">
        <v>20</v>
      </c>
      <c r="E37" s="5">
        <v>129</v>
      </c>
    </row>
    <row r="38" spans="3:12" x14ac:dyDescent="0.2">
      <c r="C38" s="9"/>
      <c r="D38" s="8"/>
      <c r="E38" s="11" t="s">
        <v>17</v>
      </c>
      <c r="F38" s="11" t="s">
        <v>18</v>
      </c>
    </row>
    <row r="39" spans="3:12" ht="25.5" x14ac:dyDescent="0.25">
      <c r="C39" s="74" t="s">
        <v>0</v>
      </c>
      <c r="D39" s="10" t="s">
        <v>13</v>
      </c>
      <c r="E39" s="2">
        <v>6.18</v>
      </c>
      <c r="F39" s="1">
        <f>E39/E$48</f>
        <v>2.6801228535642714E-3</v>
      </c>
    </row>
    <row r="40" spans="3:12" ht="15" x14ac:dyDescent="0.25">
      <c r="C40" s="75"/>
      <c r="D40" s="10" t="s">
        <v>11</v>
      </c>
      <c r="E40" s="2">
        <v>0</v>
      </c>
      <c r="F40" s="1">
        <f t="shared" ref="F40:F47" si="5">E40/E$48</f>
        <v>0</v>
      </c>
    </row>
    <row r="41" spans="3:12" ht="25.5" x14ac:dyDescent="0.25">
      <c r="C41" s="6" t="s">
        <v>2</v>
      </c>
      <c r="D41" s="14" t="s">
        <v>15</v>
      </c>
      <c r="E41" s="2">
        <v>72.12</v>
      </c>
      <c r="F41" s="1">
        <f t="shared" si="5"/>
        <v>3.1276773494992763E-2</v>
      </c>
    </row>
    <row r="42" spans="3:12" ht="15" x14ac:dyDescent="0.25">
      <c r="C42" s="81" t="s">
        <v>3</v>
      </c>
      <c r="D42" s="14" t="s">
        <v>4</v>
      </c>
      <c r="E42" s="23">
        <v>1980.7</v>
      </c>
      <c r="F42" s="1">
        <f t="shared" si="5"/>
        <v>0.85898371133572049</v>
      </c>
    </row>
    <row r="43" spans="3:12" ht="15" x14ac:dyDescent="0.25">
      <c r="C43" s="76"/>
      <c r="D43" s="14" t="s">
        <v>5</v>
      </c>
      <c r="E43" s="3">
        <v>36.261393333333338</v>
      </c>
      <c r="F43" s="1">
        <f t="shared" si="5"/>
        <v>1.5725726371318739E-2</v>
      </c>
    </row>
    <row r="44" spans="3:12" ht="15" x14ac:dyDescent="0.25">
      <c r="C44" s="77"/>
      <c r="D44" s="14" t="s">
        <v>6</v>
      </c>
      <c r="E44" s="2">
        <v>15.3216</v>
      </c>
      <c r="F44" s="1">
        <f t="shared" si="5"/>
        <v>6.6446230280210912E-3</v>
      </c>
    </row>
    <row r="45" spans="3:12" ht="15" x14ac:dyDescent="0.25">
      <c r="C45" s="7" t="s">
        <v>16</v>
      </c>
      <c r="D45" s="14" t="s">
        <v>9</v>
      </c>
      <c r="E45" s="2">
        <v>150.80706666666666</v>
      </c>
      <c r="F45" s="1">
        <f t="shared" si="5"/>
        <v>6.540153169131456E-2</v>
      </c>
    </row>
    <row r="46" spans="3:12" ht="15" x14ac:dyDescent="0.25">
      <c r="C46" s="78" t="s">
        <v>7</v>
      </c>
      <c r="D46" s="14" t="s">
        <v>12</v>
      </c>
      <c r="E46" s="2">
        <v>13.861069393296001</v>
      </c>
      <c r="F46" s="1">
        <f t="shared" si="5"/>
        <v>6.0112247339503015E-3</v>
      </c>
    </row>
    <row r="47" spans="3:12" ht="15" x14ac:dyDescent="0.25">
      <c r="C47" s="79"/>
      <c r="D47" s="14" t="s">
        <v>8</v>
      </c>
      <c r="E47" s="2">
        <v>30.613317000000002</v>
      </c>
      <c r="F47" s="1">
        <f t="shared" si="5"/>
        <v>1.327628649111774E-2</v>
      </c>
    </row>
    <row r="48" spans="3:12" ht="15" x14ac:dyDescent="0.2">
      <c r="C48" s="80" t="s">
        <v>10</v>
      </c>
      <c r="D48" s="80"/>
      <c r="E48" s="82">
        <f>SUM(E39:E47)</f>
        <v>2305.864446393296</v>
      </c>
      <c r="F48" s="83"/>
      <c r="G48" s="17">
        <f>(E48-EXPLOITATION!E48)/EXPLOITATION!E48</f>
        <v>-0.11714554435343015</v>
      </c>
    </row>
  </sheetData>
  <mergeCells count="26">
    <mergeCell ref="C17:C18"/>
    <mergeCell ref="I17:I18"/>
    <mergeCell ref="G9:H9"/>
    <mergeCell ref="C10:C11"/>
    <mergeCell ref="I10:I11"/>
    <mergeCell ref="C13:C15"/>
    <mergeCell ref="I13:I15"/>
    <mergeCell ref="K33:L33"/>
    <mergeCell ref="C19:D19"/>
    <mergeCell ref="E19:F19"/>
    <mergeCell ref="I19:J19"/>
    <mergeCell ref="K19:L19"/>
    <mergeCell ref="C25:C26"/>
    <mergeCell ref="I25:I26"/>
    <mergeCell ref="C48:D48"/>
    <mergeCell ref="E48:F48"/>
    <mergeCell ref="C28:C30"/>
    <mergeCell ref="I28:I29"/>
    <mergeCell ref="I31:I32"/>
    <mergeCell ref="C32:C33"/>
    <mergeCell ref="I33:J33"/>
    <mergeCell ref="C34:D34"/>
    <mergeCell ref="E34:F34"/>
    <mergeCell ref="C39:C40"/>
    <mergeCell ref="C42:C44"/>
    <mergeCell ref="C46:C4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M48"/>
  <sheetViews>
    <sheetView topLeftCell="A28" workbookViewId="0">
      <selection activeCell="B2" sqref="B2:D2"/>
    </sheetView>
  </sheetViews>
  <sheetFormatPr baseColWidth="10" defaultColWidth="11.5703125" defaultRowHeight="12.75" x14ac:dyDescent="0.2"/>
  <cols>
    <col min="1" max="2" width="11.5703125" style="4"/>
    <col min="3" max="3" width="16.5703125" style="4" customWidth="1"/>
    <col min="4" max="4" width="42.7109375" style="4" customWidth="1"/>
    <col min="5" max="5" width="11.5703125" style="5"/>
    <col min="6" max="8" width="11.5703125" style="4"/>
    <col min="9" max="9" width="16.28515625" style="4" customWidth="1"/>
    <col min="10" max="10" width="42.42578125" style="4" customWidth="1"/>
    <col min="11" max="16384" width="11.5703125" style="4"/>
  </cols>
  <sheetData>
    <row r="2" spans="2:12" ht="20.25" x14ac:dyDescent="0.3">
      <c r="B2" s="56" t="s">
        <v>35</v>
      </c>
      <c r="C2" s="56"/>
      <c r="D2" s="56" t="s">
        <v>36</v>
      </c>
    </row>
    <row r="3" spans="2:12" ht="20.25" x14ac:dyDescent="0.3">
      <c r="B3" s="56"/>
      <c r="C3" s="56"/>
      <c r="D3" s="56" t="s">
        <v>23</v>
      </c>
    </row>
    <row r="4" spans="2:12" ht="20.25" x14ac:dyDescent="0.3">
      <c r="B4" s="56"/>
      <c r="C4" s="56"/>
      <c r="D4" s="56" t="s">
        <v>24</v>
      </c>
    </row>
    <row r="7" spans="2:12" x14ac:dyDescent="0.2">
      <c r="C7" s="4" t="s">
        <v>14</v>
      </c>
      <c r="E7" s="5">
        <v>1523</v>
      </c>
    </row>
    <row r="8" spans="2:12" x14ac:dyDescent="0.2">
      <c r="I8" s="4" t="s">
        <v>21</v>
      </c>
    </row>
    <row r="9" spans="2:12" x14ac:dyDescent="0.2">
      <c r="B9" s="8"/>
      <c r="C9" s="9"/>
      <c r="D9" s="8"/>
      <c r="E9" s="11" t="s">
        <v>17</v>
      </c>
      <c r="F9" s="11" t="s">
        <v>18</v>
      </c>
      <c r="G9" s="86"/>
      <c r="H9" s="86"/>
      <c r="I9" s="9"/>
      <c r="J9" s="8"/>
      <c r="K9" s="11" t="s">
        <v>17</v>
      </c>
      <c r="L9" s="11" t="s">
        <v>18</v>
      </c>
    </row>
    <row r="10" spans="2:12" ht="13.15" customHeight="1" x14ac:dyDescent="0.2">
      <c r="B10" s="8"/>
      <c r="C10" s="74" t="s">
        <v>0</v>
      </c>
      <c r="D10" s="10" t="s">
        <v>13</v>
      </c>
      <c r="E10" s="11">
        <v>5.26</v>
      </c>
      <c r="F10" s="12">
        <f>E10/E$19</f>
        <v>3.6675498535769062E-2</v>
      </c>
      <c r="G10" s="16"/>
      <c r="H10" s="17"/>
      <c r="I10" s="74" t="s">
        <v>0</v>
      </c>
      <c r="J10" s="10" t="s">
        <v>13</v>
      </c>
      <c r="K10" s="21">
        <f>E10*$E$7+E25*$E$23+E39*$E$37</f>
        <v>11511.039999999999</v>
      </c>
      <c r="L10" s="12">
        <f>K10/K$19</f>
        <v>1.0948330940808288E-2</v>
      </c>
    </row>
    <row r="11" spans="2:12" ht="13.15" customHeight="1" x14ac:dyDescent="0.2">
      <c r="B11" s="8"/>
      <c r="C11" s="75"/>
      <c r="D11" s="10" t="s">
        <v>11</v>
      </c>
      <c r="E11" s="11">
        <v>18.75</v>
      </c>
      <c r="F11" s="12">
        <f t="shared" ref="F11:F18" si="0">E11/E$19</f>
        <v>0.13073490447636313</v>
      </c>
      <c r="G11" s="16"/>
      <c r="H11" s="17"/>
      <c r="I11" s="75"/>
      <c r="J11" s="10" t="s">
        <v>11</v>
      </c>
      <c r="K11" s="21">
        <f t="shared" ref="K11:K18" si="1">E11*$E$7+E26*$E$23+E40*$E$37</f>
        <v>28556.25</v>
      </c>
      <c r="L11" s="12">
        <f t="shared" ref="L11:L18" si="2">K11/K$19</f>
        <v>2.7160297890412743E-2</v>
      </c>
    </row>
    <row r="12" spans="2:12" ht="25.5" x14ac:dyDescent="0.2">
      <c r="B12" s="8"/>
      <c r="C12" s="6" t="s">
        <v>2</v>
      </c>
      <c r="D12" s="14" t="s">
        <v>15</v>
      </c>
      <c r="E12" s="11">
        <v>1.68</v>
      </c>
      <c r="F12" s="12">
        <f t="shared" si="0"/>
        <v>1.1713847441082134E-2</v>
      </c>
      <c r="G12" s="18"/>
      <c r="H12" s="17"/>
      <c r="I12" s="6" t="s">
        <v>2</v>
      </c>
      <c r="J12" s="14" t="s">
        <v>15</v>
      </c>
      <c r="K12" s="21">
        <f t="shared" si="1"/>
        <v>25336.920000000002</v>
      </c>
      <c r="L12" s="12">
        <f t="shared" si="2"/>
        <v>2.4098342563381274E-2</v>
      </c>
    </row>
    <row r="13" spans="2:12" ht="13.15" customHeight="1" x14ac:dyDescent="0.2">
      <c r="B13" s="8"/>
      <c r="C13" s="81" t="s">
        <v>3</v>
      </c>
      <c r="D13" s="14" t="s">
        <v>4</v>
      </c>
      <c r="E13" s="11">
        <v>107.3</v>
      </c>
      <c r="F13" s="12">
        <f t="shared" si="0"/>
        <v>0.74815228001673395</v>
      </c>
      <c r="G13" s="16"/>
      <c r="H13" s="17"/>
      <c r="I13" s="81" t="s">
        <v>3</v>
      </c>
      <c r="J13" s="14" t="s">
        <v>4</v>
      </c>
      <c r="K13" s="21">
        <f t="shared" si="1"/>
        <v>908542.56551375007</v>
      </c>
      <c r="L13" s="12">
        <f t="shared" si="2"/>
        <v>0.86412910397805343</v>
      </c>
    </row>
    <row r="14" spans="2:12" ht="13.15" customHeight="1" x14ac:dyDescent="0.2">
      <c r="B14" s="8"/>
      <c r="C14" s="76"/>
      <c r="D14" s="14" t="s">
        <v>5</v>
      </c>
      <c r="E14" s="24">
        <v>0.55000000000000004</v>
      </c>
      <c r="F14" s="12">
        <f t="shared" si="0"/>
        <v>3.8348905313066515E-3</v>
      </c>
      <c r="G14" s="16"/>
      <c r="H14" s="17"/>
      <c r="I14" s="76"/>
      <c r="J14" s="14" t="s">
        <v>5</v>
      </c>
      <c r="K14" s="21">
        <f t="shared" si="1"/>
        <v>2276.88</v>
      </c>
      <c r="L14" s="12">
        <f t="shared" si="2"/>
        <v>2.1655763295503777E-3</v>
      </c>
    </row>
    <row r="15" spans="2:12" ht="13.15" customHeight="1" x14ac:dyDescent="0.2">
      <c r="B15" s="8"/>
      <c r="C15" s="77"/>
      <c r="D15" s="14" t="s">
        <v>6</v>
      </c>
      <c r="E15" s="24">
        <v>5.78</v>
      </c>
      <c r="F15" s="12">
        <f t="shared" si="0"/>
        <v>4.0301213219913541E-2</v>
      </c>
      <c r="G15" s="16"/>
      <c r="H15" s="17"/>
      <c r="I15" s="77"/>
      <c r="J15" s="14" t="s">
        <v>6</v>
      </c>
      <c r="K15" s="21">
        <f t="shared" si="1"/>
        <v>16815.506400000002</v>
      </c>
      <c r="L15" s="12">
        <f t="shared" si="2"/>
        <v>1.5993492247831632E-2</v>
      </c>
    </row>
    <row r="16" spans="2:12" x14ac:dyDescent="0.2">
      <c r="B16" s="8"/>
      <c r="C16" s="7" t="s">
        <v>16</v>
      </c>
      <c r="D16" s="14" t="s">
        <v>9</v>
      </c>
      <c r="E16" s="11">
        <v>0</v>
      </c>
      <c r="F16" s="12">
        <f t="shared" si="0"/>
        <v>0</v>
      </c>
      <c r="G16" s="16"/>
      <c r="H16" s="17"/>
      <c r="I16" s="7" t="s">
        <v>16</v>
      </c>
      <c r="J16" s="14" t="s">
        <v>9</v>
      </c>
      <c r="K16" s="21">
        <f t="shared" si="1"/>
        <v>35939.071600000003</v>
      </c>
      <c r="L16" s="12">
        <f t="shared" si="2"/>
        <v>3.4182215471599831E-2</v>
      </c>
    </row>
    <row r="17" spans="2:13" x14ac:dyDescent="0.2">
      <c r="B17" s="8"/>
      <c r="C17" s="78" t="s">
        <v>7</v>
      </c>
      <c r="D17" s="14" t="s">
        <v>12</v>
      </c>
      <c r="E17" s="11">
        <v>1.87</v>
      </c>
      <c r="F17" s="12">
        <f t="shared" si="0"/>
        <v>1.3038627806442615E-2</v>
      </c>
      <c r="G17" s="18"/>
      <c r="H17" s="17"/>
      <c r="I17" s="78" t="s">
        <v>7</v>
      </c>
      <c r="J17" s="14" t="s">
        <v>12</v>
      </c>
      <c r="K17" s="21">
        <f t="shared" si="1"/>
        <v>8170.2679517351844</v>
      </c>
      <c r="L17" s="12">
        <f t="shared" si="2"/>
        <v>7.7708701742567731E-3</v>
      </c>
    </row>
    <row r="18" spans="2:13" ht="13.15" customHeight="1" x14ac:dyDescent="0.2">
      <c r="B18" s="8"/>
      <c r="C18" s="79"/>
      <c r="D18" s="14" t="s">
        <v>8</v>
      </c>
      <c r="E18" s="11">
        <v>2.23</v>
      </c>
      <c r="F18" s="12">
        <f t="shared" si="0"/>
        <v>1.5548737972388786E-2</v>
      </c>
      <c r="G18" s="18"/>
      <c r="H18" s="17"/>
      <c r="I18" s="79"/>
      <c r="J18" s="14" t="s">
        <v>8</v>
      </c>
      <c r="K18" s="21">
        <f t="shared" si="1"/>
        <v>14248.287893000001</v>
      </c>
      <c r="L18" s="12">
        <f t="shared" si="2"/>
        <v>1.3551770404105629E-2</v>
      </c>
    </row>
    <row r="19" spans="2:13" ht="15" x14ac:dyDescent="0.2">
      <c r="B19" s="8"/>
      <c r="C19" s="80" t="s">
        <v>10</v>
      </c>
      <c r="D19" s="80"/>
      <c r="E19" s="84">
        <f>SUM(E10:E18)</f>
        <v>143.42000000000002</v>
      </c>
      <c r="F19" s="85"/>
      <c r="G19" s="17">
        <f>(E19-EXPLOITATION!E19)/EXPLOITATION!E19</f>
        <v>-5.2520314461253804E-2</v>
      </c>
      <c r="H19" s="19"/>
      <c r="I19" s="80" t="s">
        <v>10</v>
      </c>
      <c r="J19" s="80"/>
      <c r="K19" s="72">
        <f>SUM(K10:K18)</f>
        <v>1051396.7893584853</v>
      </c>
      <c r="L19" s="73"/>
      <c r="M19" s="22">
        <f>(K19-EXPLOITATION!K19)/EXPLOITATION!K19</f>
        <v>-1.6286394723710972E-2</v>
      </c>
    </row>
    <row r="20" spans="2:13" x14ac:dyDescent="0.2">
      <c r="B20" s="8"/>
      <c r="C20" s="8"/>
      <c r="D20" s="8"/>
      <c r="E20" s="15"/>
      <c r="F20" s="8"/>
      <c r="G20" s="19"/>
      <c r="H20" s="19"/>
      <c r="I20" s="20"/>
      <c r="J20" s="20"/>
    </row>
    <row r="23" spans="2:13" x14ac:dyDescent="0.2">
      <c r="C23" s="4" t="s">
        <v>19</v>
      </c>
      <c r="E23" s="5">
        <v>394</v>
      </c>
      <c r="I23" s="4" t="s">
        <v>22</v>
      </c>
    </row>
    <row r="24" spans="2:13" x14ac:dyDescent="0.2">
      <c r="C24" s="9"/>
      <c r="D24" s="8"/>
      <c r="E24" s="11" t="s">
        <v>17</v>
      </c>
      <c r="F24" s="11" t="s">
        <v>18</v>
      </c>
      <c r="I24" s="9"/>
      <c r="J24" s="8"/>
      <c r="K24" s="11" t="s">
        <v>17</v>
      </c>
      <c r="L24" s="11" t="s">
        <v>18</v>
      </c>
    </row>
    <row r="25" spans="2:13" ht="25.5" x14ac:dyDescent="0.25">
      <c r="C25" s="74" t="s">
        <v>0</v>
      </c>
      <c r="D25" s="10" t="s">
        <v>13</v>
      </c>
      <c r="E25" s="2">
        <v>6.86</v>
      </c>
      <c r="F25" s="1">
        <f>E25/E$34</f>
        <v>5.4121433981317866E-3</v>
      </c>
      <c r="I25" s="74" t="s">
        <v>0</v>
      </c>
      <c r="J25" s="10" t="s">
        <v>13</v>
      </c>
      <c r="K25" s="21">
        <f>K10</f>
        <v>11511.039999999999</v>
      </c>
      <c r="L25" s="12">
        <f>K25/K$33</f>
        <v>8.0578926476203266E-2</v>
      </c>
    </row>
    <row r="26" spans="2:13" ht="15" x14ac:dyDescent="0.25">
      <c r="C26" s="75"/>
      <c r="D26" s="10" t="s">
        <v>11</v>
      </c>
      <c r="E26" s="2">
        <v>0</v>
      </c>
      <c r="F26" s="1">
        <f t="shared" ref="F26:F33" si="3">E26/E$34</f>
        <v>0</v>
      </c>
      <c r="I26" s="75"/>
      <c r="J26" s="10" t="s">
        <v>11</v>
      </c>
      <c r="K26" s="21">
        <f>K11</f>
        <v>28556.25</v>
      </c>
      <c r="L26" s="12">
        <f t="shared" ref="L26:L32" si="4">K26/K$33</f>
        <v>0.19989783452981483</v>
      </c>
    </row>
    <row r="27" spans="2:13" ht="25.5" x14ac:dyDescent="0.25">
      <c r="C27" s="6" t="s">
        <v>2</v>
      </c>
      <c r="D27" s="14" t="s">
        <v>15</v>
      </c>
      <c r="E27" s="3">
        <v>34.200000000000003</v>
      </c>
      <c r="F27" s="1">
        <f t="shared" si="3"/>
        <v>2.6981822772027274E-2</v>
      </c>
      <c r="I27" s="6" t="s">
        <v>2</v>
      </c>
      <c r="J27" s="14" t="s">
        <v>15</v>
      </c>
      <c r="K27" s="21">
        <f>K12</f>
        <v>25336.920000000002</v>
      </c>
      <c r="L27" s="12">
        <f t="shared" si="4"/>
        <v>0.1773620640544594</v>
      </c>
    </row>
    <row r="28" spans="2:13" ht="15" x14ac:dyDescent="0.25">
      <c r="C28" s="81" t="s">
        <v>3</v>
      </c>
      <c r="D28" s="14" t="s">
        <v>4</v>
      </c>
      <c r="E28" s="2">
        <v>1142.5</v>
      </c>
      <c r="F28" s="1">
        <f t="shared" si="3"/>
        <v>0.9013664478667005</v>
      </c>
      <c r="I28" s="76" t="s">
        <v>3</v>
      </c>
      <c r="J28" s="14" t="s">
        <v>5</v>
      </c>
      <c r="K28" s="21">
        <f>K14</f>
        <v>2276.88</v>
      </c>
      <c r="L28" s="12">
        <f t="shared" si="4"/>
        <v>1.5938485672462064E-2</v>
      </c>
    </row>
    <row r="29" spans="2:13" ht="15" x14ac:dyDescent="0.25">
      <c r="C29" s="76"/>
      <c r="D29" s="14" t="s">
        <v>5</v>
      </c>
      <c r="E29" s="23">
        <v>0.31</v>
      </c>
      <c r="F29" s="1">
        <f t="shared" si="3"/>
        <v>2.4457207775814191E-4</v>
      </c>
      <c r="I29" s="77"/>
      <c r="J29" s="14" t="s">
        <v>6</v>
      </c>
      <c r="K29" s="21">
        <f>K15</f>
        <v>16815.506400000002</v>
      </c>
      <c r="L29" s="12">
        <f t="shared" si="4"/>
        <v>0.11771094999806496</v>
      </c>
    </row>
    <row r="30" spans="2:13" ht="15" x14ac:dyDescent="0.25">
      <c r="C30" s="77"/>
      <c r="D30" s="14" t="s">
        <v>6</v>
      </c>
      <c r="E30" s="23">
        <v>15.32</v>
      </c>
      <c r="F30" s="1">
        <f t="shared" si="3"/>
        <v>1.2086594294370111E-2</v>
      </c>
      <c r="I30" s="7" t="s">
        <v>16</v>
      </c>
      <c r="J30" s="14" t="s">
        <v>9</v>
      </c>
      <c r="K30" s="21">
        <f>K16</f>
        <v>35939.071600000003</v>
      </c>
      <c r="L30" s="12">
        <f t="shared" si="4"/>
        <v>0.25157864172823702</v>
      </c>
    </row>
    <row r="31" spans="2:13" ht="15" x14ac:dyDescent="0.25">
      <c r="C31" s="7" t="s">
        <v>16</v>
      </c>
      <c r="D31" s="14" t="s">
        <v>9</v>
      </c>
      <c r="E31" s="2">
        <v>41.84</v>
      </c>
      <c r="F31" s="1">
        <f t="shared" si="3"/>
        <v>3.3009341075485997E-2</v>
      </c>
      <c r="I31" s="78" t="s">
        <v>7</v>
      </c>
      <c r="J31" s="14" t="s">
        <v>12</v>
      </c>
      <c r="K31" s="21">
        <f>K17</f>
        <v>8170.2679517351844</v>
      </c>
      <c r="L31" s="12">
        <f t="shared" si="4"/>
        <v>5.7193044292587751E-2</v>
      </c>
    </row>
    <row r="32" spans="2:13" ht="15" x14ac:dyDescent="0.25">
      <c r="C32" s="78" t="s">
        <v>7</v>
      </c>
      <c r="D32" s="14" t="s">
        <v>12</v>
      </c>
      <c r="E32" s="3">
        <v>8.9700000000000006</v>
      </c>
      <c r="F32" s="1">
        <f t="shared" si="3"/>
        <v>7.0768114112597846E-3</v>
      </c>
      <c r="I32" s="79"/>
      <c r="J32" s="14" t="s">
        <v>8</v>
      </c>
      <c r="K32" s="21">
        <f>K18</f>
        <v>14248.287893000001</v>
      </c>
      <c r="L32" s="12">
        <f t="shared" si="4"/>
        <v>9.9740053248170812E-2</v>
      </c>
    </row>
    <row r="33" spans="3:13" ht="15" x14ac:dyDescent="0.25">
      <c r="C33" s="79"/>
      <c r="D33" s="14" t="s">
        <v>8</v>
      </c>
      <c r="E33" s="3">
        <v>17.52</v>
      </c>
      <c r="F33" s="1">
        <f t="shared" si="3"/>
        <v>1.3822267104266601E-2</v>
      </c>
      <c r="I33" s="80" t="s">
        <v>10</v>
      </c>
      <c r="J33" s="80"/>
      <c r="K33" s="72">
        <f>SUM(K25:K32)</f>
        <v>142854.22384473518</v>
      </c>
      <c r="L33" s="73"/>
      <c r="M33" s="22">
        <f>(K33-EXPLOITATION!K33)/EXPLOITATION!K33</f>
        <v>-0.1086161935824989</v>
      </c>
    </row>
    <row r="34" spans="3:13" ht="15" x14ac:dyDescent="0.2">
      <c r="C34" s="80" t="s">
        <v>10</v>
      </c>
      <c r="D34" s="80"/>
      <c r="E34" s="84">
        <f>SUM(E25:E33)</f>
        <v>1267.5199999999998</v>
      </c>
      <c r="F34" s="85"/>
      <c r="G34" s="17">
        <f>(E34-EXPLOITATION!E34)/EXPLOITATION!E34</f>
        <v>-3.8665870296438914E-3</v>
      </c>
    </row>
    <row r="37" spans="3:13" x14ac:dyDescent="0.2">
      <c r="C37" s="4" t="s">
        <v>20</v>
      </c>
      <c r="E37" s="5">
        <v>129</v>
      </c>
    </row>
    <row r="38" spans="3:13" x14ac:dyDescent="0.2">
      <c r="C38" s="9"/>
      <c r="D38" s="8"/>
      <c r="E38" s="11" t="s">
        <v>17</v>
      </c>
      <c r="F38" s="11" t="s">
        <v>18</v>
      </c>
    </row>
    <row r="39" spans="3:13" ht="25.5" x14ac:dyDescent="0.25">
      <c r="C39" s="74" t="s">
        <v>0</v>
      </c>
      <c r="D39" s="10" t="s">
        <v>13</v>
      </c>
      <c r="E39" s="2">
        <v>6.18</v>
      </c>
      <c r="F39" s="1">
        <f>E39/E$48</f>
        <v>2.3899971640727515E-3</v>
      </c>
    </row>
    <row r="40" spans="3:13" ht="15" x14ac:dyDescent="0.25">
      <c r="C40" s="75"/>
      <c r="D40" s="10" t="s">
        <v>11</v>
      </c>
      <c r="E40" s="2">
        <v>0</v>
      </c>
      <c r="F40" s="1">
        <f t="shared" ref="F40:F47" si="5">E40/E$48</f>
        <v>0</v>
      </c>
    </row>
    <row r="41" spans="3:13" ht="25.5" x14ac:dyDescent="0.25">
      <c r="C41" s="6" t="s">
        <v>2</v>
      </c>
      <c r="D41" s="14" t="s">
        <v>15</v>
      </c>
      <c r="E41" s="2">
        <v>72.12</v>
      </c>
      <c r="F41" s="1">
        <f t="shared" si="5"/>
        <v>2.7891034866169395E-2</v>
      </c>
    </row>
    <row r="42" spans="3:13" ht="15" x14ac:dyDescent="0.25">
      <c r="C42" s="81" t="s">
        <v>3</v>
      </c>
      <c r="D42" s="14" t="s">
        <v>4</v>
      </c>
      <c r="E42" s="2">
        <v>2286.6640737500002</v>
      </c>
      <c r="F42" s="1">
        <f t="shared" si="5"/>
        <v>0.88432373000801712</v>
      </c>
    </row>
    <row r="43" spans="3:13" ht="15" x14ac:dyDescent="0.25">
      <c r="C43" s="76"/>
      <c r="D43" s="14" t="s">
        <v>5</v>
      </c>
      <c r="E43" s="23">
        <v>10.210000000000001</v>
      </c>
      <c r="F43" s="1">
        <f t="shared" si="5"/>
        <v>3.9485228228451127E-3</v>
      </c>
    </row>
    <row r="44" spans="3:13" ht="15" x14ac:dyDescent="0.25">
      <c r="C44" s="77"/>
      <c r="D44" s="14" t="s">
        <v>6</v>
      </c>
      <c r="E44" s="23">
        <v>15.3216</v>
      </c>
      <c r="F44" s="1">
        <f t="shared" si="5"/>
        <v>5.9253366584234744E-3</v>
      </c>
    </row>
    <row r="45" spans="3:13" ht="15" x14ac:dyDescent="0.25">
      <c r="C45" s="7" t="s">
        <v>16</v>
      </c>
      <c r="D45" s="14" t="s">
        <v>9</v>
      </c>
      <c r="E45" s="2">
        <v>150.80706666666666</v>
      </c>
      <c r="F45" s="1">
        <f t="shared" si="5"/>
        <v>5.8321757549427783E-2</v>
      </c>
    </row>
    <row r="46" spans="3:13" ht="15" x14ac:dyDescent="0.25">
      <c r="C46" s="78" t="s">
        <v>7</v>
      </c>
      <c r="D46" s="14" t="s">
        <v>12</v>
      </c>
      <c r="E46" s="2">
        <v>13.861069393296001</v>
      </c>
      <c r="F46" s="1">
        <f t="shared" si="5"/>
        <v>5.3605042946590709E-3</v>
      </c>
    </row>
    <row r="47" spans="3:13" ht="15" x14ac:dyDescent="0.25">
      <c r="C47" s="79"/>
      <c r="D47" s="14" t="s">
        <v>8</v>
      </c>
      <c r="E47" s="2">
        <v>30.613317000000002</v>
      </c>
      <c r="F47" s="1">
        <f t="shared" si="5"/>
        <v>1.1839116636385139E-2</v>
      </c>
    </row>
    <row r="48" spans="3:13" ht="15" x14ac:dyDescent="0.2">
      <c r="C48" s="80" t="s">
        <v>10</v>
      </c>
      <c r="D48" s="80"/>
      <c r="E48" s="82">
        <f>SUM(E39:E47)</f>
        <v>2585.7771268099632</v>
      </c>
      <c r="F48" s="83"/>
      <c r="G48" s="17">
        <f>(E48-EXPLOITATION!E48)/EXPLOITATION!E48</f>
        <v>-9.9743888744671053E-3</v>
      </c>
    </row>
  </sheetData>
  <mergeCells count="26">
    <mergeCell ref="C17:C18"/>
    <mergeCell ref="I17:I18"/>
    <mergeCell ref="G9:H9"/>
    <mergeCell ref="C10:C11"/>
    <mergeCell ref="I10:I11"/>
    <mergeCell ref="C13:C15"/>
    <mergeCell ref="I13:I15"/>
    <mergeCell ref="K33:L33"/>
    <mergeCell ref="C19:D19"/>
    <mergeCell ref="E19:F19"/>
    <mergeCell ref="I19:J19"/>
    <mergeCell ref="K19:L19"/>
    <mergeCell ref="C25:C26"/>
    <mergeCell ref="I25:I26"/>
    <mergeCell ref="C48:D48"/>
    <mergeCell ref="E48:F48"/>
    <mergeCell ref="C28:C30"/>
    <mergeCell ref="I28:I29"/>
    <mergeCell ref="I31:I32"/>
    <mergeCell ref="C32:C33"/>
    <mergeCell ref="I33:J33"/>
    <mergeCell ref="C34:D34"/>
    <mergeCell ref="E34:F34"/>
    <mergeCell ref="C39:C40"/>
    <mergeCell ref="C42:C44"/>
    <mergeCell ref="C46:C4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B2:M48"/>
  <sheetViews>
    <sheetView workbookViewId="0">
      <selection activeCell="B2" sqref="B2:D2"/>
    </sheetView>
  </sheetViews>
  <sheetFormatPr baseColWidth="10" defaultColWidth="11.5703125" defaultRowHeight="12.75" x14ac:dyDescent="0.2"/>
  <cols>
    <col min="1" max="2" width="11.5703125" style="4"/>
    <col min="3" max="3" width="16.5703125" style="4" customWidth="1"/>
    <col min="4" max="4" width="42.7109375" style="4" customWidth="1"/>
    <col min="5" max="5" width="11.5703125" style="5"/>
    <col min="6" max="8" width="11.5703125" style="4"/>
    <col min="9" max="9" width="16.28515625" style="4" customWidth="1"/>
    <col min="10" max="10" width="42.42578125" style="4" customWidth="1"/>
    <col min="11" max="16384" width="11.5703125" style="4"/>
  </cols>
  <sheetData>
    <row r="2" spans="2:12" ht="20.25" x14ac:dyDescent="0.3">
      <c r="B2" s="56" t="s">
        <v>35</v>
      </c>
      <c r="C2" s="56"/>
      <c r="D2" s="56" t="s">
        <v>41</v>
      </c>
    </row>
    <row r="3" spans="2:12" ht="20.25" x14ac:dyDescent="0.3">
      <c r="B3" s="56"/>
      <c r="C3" s="56"/>
      <c r="D3" s="56" t="s">
        <v>40</v>
      </c>
    </row>
    <row r="4" spans="2:12" ht="20.25" x14ac:dyDescent="0.3">
      <c r="B4" s="56"/>
      <c r="C4" s="56"/>
    </row>
    <row r="7" spans="2:12" x14ac:dyDescent="0.2">
      <c r="C7" s="4" t="s">
        <v>14</v>
      </c>
      <c r="E7" s="5">
        <v>1523</v>
      </c>
    </row>
    <row r="8" spans="2:12" x14ac:dyDescent="0.2">
      <c r="I8" s="4" t="s">
        <v>21</v>
      </c>
    </row>
    <row r="9" spans="2:12" x14ac:dyDescent="0.2">
      <c r="B9" s="8"/>
      <c r="C9" s="9"/>
      <c r="D9" s="8"/>
      <c r="E9" s="11" t="s">
        <v>17</v>
      </c>
      <c r="F9" s="11" t="s">
        <v>18</v>
      </c>
      <c r="G9" s="86"/>
      <c r="H9" s="86"/>
      <c r="I9" s="9"/>
      <c r="J9" s="8"/>
      <c r="K9" s="11" t="s">
        <v>17</v>
      </c>
      <c r="L9" s="11" t="s">
        <v>18</v>
      </c>
    </row>
    <row r="10" spans="2:12" ht="13.15" customHeight="1" x14ac:dyDescent="0.2">
      <c r="B10" s="8"/>
      <c r="C10" s="74" t="s">
        <v>0</v>
      </c>
      <c r="D10" s="10" t="s">
        <v>13</v>
      </c>
      <c r="E10" s="24">
        <f>0.8*9.97</f>
        <v>7.9760000000000009</v>
      </c>
      <c r="F10" s="12">
        <f>E10/E$19</f>
        <v>5.8934799314299229E-2</v>
      </c>
      <c r="G10" s="16"/>
      <c r="H10" s="17"/>
      <c r="I10" s="74" t="s">
        <v>0</v>
      </c>
      <c r="J10" s="10" t="s">
        <v>13</v>
      </c>
      <c r="K10" s="21">
        <f>E10*$E$7+E25*$E$23+E39*$E$37</f>
        <v>14947.496000000003</v>
      </c>
      <c r="L10" s="12">
        <f>K10/K$19</f>
        <v>1.4321860489452011E-2</v>
      </c>
    </row>
    <row r="11" spans="2:12" ht="13.15" customHeight="1" x14ac:dyDescent="0.2">
      <c r="B11" s="8"/>
      <c r="C11" s="75"/>
      <c r="D11" s="10" t="s">
        <v>11</v>
      </c>
      <c r="E11" s="24">
        <v>0</v>
      </c>
      <c r="F11" s="12">
        <f t="shared" ref="F11:F18" si="0">E11/E$19</f>
        <v>0</v>
      </c>
      <c r="G11" s="16"/>
      <c r="H11" s="17"/>
      <c r="I11" s="75"/>
      <c r="J11" s="10" t="s">
        <v>11</v>
      </c>
      <c r="K11" s="21">
        <f t="shared" ref="K11:K18" si="1">E11*$E$7+E26*$E$23+E40*$E$37</f>
        <v>0</v>
      </c>
      <c r="L11" s="12">
        <f t="shared" ref="L11:L18" si="2">K11/K$19</f>
        <v>0</v>
      </c>
    </row>
    <row r="12" spans="2:12" ht="25.5" x14ac:dyDescent="0.2">
      <c r="B12" s="8"/>
      <c r="C12" s="6" t="s">
        <v>2</v>
      </c>
      <c r="D12" s="14" t="s">
        <v>15</v>
      </c>
      <c r="E12" s="11">
        <v>1.68</v>
      </c>
      <c r="F12" s="12">
        <f t="shared" si="0"/>
        <v>1.2413548501507358E-2</v>
      </c>
      <c r="G12" s="18"/>
      <c r="H12" s="17"/>
      <c r="I12" s="6" t="s">
        <v>2</v>
      </c>
      <c r="J12" s="14" t="s">
        <v>15</v>
      </c>
      <c r="K12" s="21">
        <f t="shared" si="1"/>
        <v>25336.920000000002</v>
      </c>
      <c r="L12" s="12">
        <f t="shared" si="2"/>
        <v>2.427642954193842E-2</v>
      </c>
    </row>
    <row r="13" spans="2:12" ht="13.15" customHeight="1" x14ac:dyDescent="0.2">
      <c r="B13" s="8"/>
      <c r="C13" s="81" t="s">
        <v>3</v>
      </c>
      <c r="D13" s="14" t="s">
        <v>4</v>
      </c>
      <c r="E13" s="11">
        <v>107.3</v>
      </c>
      <c r="F13" s="12">
        <f t="shared" si="0"/>
        <v>0.79284152036413069</v>
      </c>
      <c r="G13" s="16"/>
      <c r="H13" s="17"/>
      <c r="I13" s="81" t="s">
        <v>3</v>
      </c>
      <c r="J13" s="14" t="s">
        <v>4</v>
      </c>
      <c r="K13" s="21">
        <f t="shared" si="1"/>
        <v>908542.56551375007</v>
      </c>
      <c r="L13" s="12">
        <f t="shared" si="2"/>
        <v>0.87051502619681176</v>
      </c>
    </row>
    <row r="14" spans="2:12" ht="13.15" customHeight="1" x14ac:dyDescent="0.2">
      <c r="B14" s="8"/>
      <c r="C14" s="76"/>
      <c r="D14" s="14" t="s">
        <v>5</v>
      </c>
      <c r="E14" s="11">
        <v>1.1499999999999999</v>
      </c>
      <c r="F14" s="12">
        <f t="shared" si="0"/>
        <v>8.4973695099603928E-3</v>
      </c>
      <c r="G14" s="16"/>
      <c r="H14" s="17"/>
      <c r="I14" s="76"/>
      <c r="J14" s="14" t="s">
        <v>5</v>
      </c>
      <c r="K14" s="21">
        <f t="shared" si="1"/>
        <v>8489.7897400000002</v>
      </c>
      <c r="L14" s="12">
        <f t="shared" si="2"/>
        <v>8.1344450094558325E-3</v>
      </c>
    </row>
    <row r="15" spans="2:12" ht="13.15" customHeight="1" x14ac:dyDescent="0.2">
      <c r="B15" s="8"/>
      <c r="C15" s="77"/>
      <c r="D15" s="14" t="s">
        <v>6</v>
      </c>
      <c r="E15" s="11">
        <v>13.13</v>
      </c>
      <c r="F15" s="12">
        <f t="shared" si="0"/>
        <v>9.7017792752852161E-2</v>
      </c>
      <c r="G15" s="16"/>
      <c r="H15" s="17"/>
      <c r="I15" s="77"/>
      <c r="J15" s="14" t="s">
        <v>6</v>
      </c>
      <c r="K15" s="21">
        <f t="shared" si="1"/>
        <v>28009.556400000001</v>
      </c>
      <c r="L15" s="12">
        <f t="shared" si="2"/>
        <v>2.6837201303297732E-2</v>
      </c>
    </row>
    <row r="16" spans="2:12" x14ac:dyDescent="0.2">
      <c r="B16" s="8"/>
      <c r="C16" s="7" t="s">
        <v>16</v>
      </c>
      <c r="D16" s="14" t="s">
        <v>9</v>
      </c>
      <c r="E16" s="11">
        <v>0</v>
      </c>
      <c r="F16" s="12">
        <f t="shared" si="0"/>
        <v>0</v>
      </c>
      <c r="G16" s="16"/>
      <c r="H16" s="17"/>
      <c r="I16" s="7" t="s">
        <v>16</v>
      </c>
      <c r="J16" s="14" t="s">
        <v>9</v>
      </c>
      <c r="K16" s="21">
        <f t="shared" si="1"/>
        <v>35939.071600000003</v>
      </c>
      <c r="L16" s="12">
        <f t="shared" si="2"/>
        <v>3.4434822365941878E-2</v>
      </c>
    </row>
    <row r="17" spans="2:13" x14ac:dyDescent="0.2">
      <c r="B17" s="8"/>
      <c r="C17" s="78" t="s">
        <v>7</v>
      </c>
      <c r="D17" s="14" t="s">
        <v>12</v>
      </c>
      <c r="E17" s="11">
        <v>1.87</v>
      </c>
      <c r="F17" s="12">
        <f t="shared" si="0"/>
        <v>1.381746172489212E-2</v>
      </c>
      <c r="G17" s="18"/>
      <c r="H17" s="17"/>
      <c r="I17" s="78" t="s">
        <v>7</v>
      </c>
      <c r="J17" s="14" t="s">
        <v>12</v>
      </c>
      <c r="K17" s="21">
        <f t="shared" si="1"/>
        <v>8170.2679517351844</v>
      </c>
      <c r="L17" s="12">
        <f t="shared" si="2"/>
        <v>7.8282969780485052E-3</v>
      </c>
    </row>
    <row r="18" spans="2:13" ht="13.15" customHeight="1" x14ac:dyDescent="0.2">
      <c r="B18" s="8"/>
      <c r="C18" s="79"/>
      <c r="D18" s="14" t="s">
        <v>8</v>
      </c>
      <c r="E18" s="11">
        <v>2.23</v>
      </c>
      <c r="F18" s="12">
        <f t="shared" si="0"/>
        <v>1.647750783235798E-2</v>
      </c>
      <c r="G18" s="18"/>
      <c r="H18" s="17"/>
      <c r="I18" s="79"/>
      <c r="J18" s="14" t="s">
        <v>8</v>
      </c>
      <c r="K18" s="21">
        <f t="shared" si="1"/>
        <v>14248.287893000001</v>
      </c>
      <c r="L18" s="12">
        <f t="shared" si="2"/>
        <v>1.3651918115053792E-2</v>
      </c>
    </row>
    <row r="19" spans="2:13" ht="15" x14ac:dyDescent="0.2">
      <c r="B19" s="8"/>
      <c r="C19" s="80" t="s">
        <v>10</v>
      </c>
      <c r="D19" s="80"/>
      <c r="E19" s="84">
        <f>SUM(E10:E18)</f>
        <v>135.33600000000001</v>
      </c>
      <c r="F19" s="85"/>
      <c r="G19" s="17">
        <f>(E19-EXPLOITATION!E19)/EXPLOITATION!E19</f>
        <v>-0.10592587699015651</v>
      </c>
      <c r="H19" s="19"/>
      <c r="I19" s="80" t="s">
        <v>10</v>
      </c>
      <c r="J19" s="80"/>
      <c r="K19" s="72">
        <f>SUM(K10:K18)</f>
        <v>1043683.9550984853</v>
      </c>
      <c r="L19" s="73"/>
      <c r="M19" s="22">
        <f>(K19-EXPLOITATION!K19)/EXPLOITATION!K19</f>
        <v>-2.3502718830456987E-2</v>
      </c>
    </row>
    <row r="20" spans="2:13" x14ac:dyDescent="0.2">
      <c r="B20" s="8"/>
      <c r="C20" s="8"/>
      <c r="D20" s="8"/>
      <c r="E20" s="15"/>
      <c r="F20" s="8"/>
      <c r="G20" s="19"/>
      <c r="H20" s="19"/>
      <c r="I20" s="20"/>
      <c r="J20" s="20"/>
      <c r="M20" s="22"/>
    </row>
    <row r="23" spans="2:13" x14ac:dyDescent="0.2">
      <c r="C23" s="4" t="s">
        <v>19</v>
      </c>
      <c r="E23" s="5">
        <v>394</v>
      </c>
      <c r="I23" s="4" t="s">
        <v>22</v>
      </c>
    </row>
    <row r="24" spans="2:13" x14ac:dyDescent="0.2">
      <c r="C24" s="9"/>
      <c r="D24" s="8"/>
      <c r="E24" s="11" t="s">
        <v>17</v>
      </c>
      <c r="F24" s="11" t="s">
        <v>18</v>
      </c>
      <c r="I24" s="9"/>
      <c r="J24" s="8"/>
      <c r="K24" s="11" t="s">
        <v>17</v>
      </c>
      <c r="L24" s="11" t="s">
        <v>18</v>
      </c>
    </row>
    <row r="25" spans="2:13" ht="25.5" x14ac:dyDescent="0.25">
      <c r="C25" s="74" t="s">
        <v>0</v>
      </c>
      <c r="D25" s="10" t="s">
        <v>13</v>
      </c>
      <c r="E25" s="23">
        <f>0.8*6.86</f>
        <v>5.4880000000000004</v>
      </c>
      <c r="F25" s="1">
        <f>E25/E$34</f>
        <v>4.3176289545484589E-3</v>
      </c>
      <c r="I25" s="74" t="s">
        <v>0</v>
      </c>
      <c r="J25" s="10" t="s">
        <v>13</v>
      </c>
      <c r="K25" s="21">
        <f>K10</f>
        <v>14947.496000000003</v>
      </c>
      <c r="L25" s="12">
        <f>K25/K$33</f>
        <v>0.11060635121431657</v>
      </c>
    </row>
    <row r="26" spans="2:13" ht="15" x14ac:dyDescent="0.25">
      <c r="C26" s="75"/>
      <c r="D26" s="10" t="s">
        <v>11</v>
      </c>
      <c r="E26" s="2">
        <v>0</v>
      </c>
      <c r="F26" s="1">
        <f t="shared" ref="F26:F33" si="3">E26/E$34</f>
        <v>0</v>
      </c>
      <c r="I26" s="75"/>
      <c r="J26" s="10" t="s">
        <v>11</v>
      </c>
      <c r="K26" s="21">
        <f>K11</f>
        <v>0</v>
      </c>
      <c r="L26" s="12">
        <f t="shared" ref="L26:L32" si="4">K26/K$33</f>
        <v>0</v>
      </c>
    </row>
    <row r="27" spans="2:13" ht="25.5" x14ac:dyDescent="0.25">
      <c r="C27" s="6" t="s">
        <v>2</v>
      </c>
      <c r="D27" s="14" t="s">
        <v>15</v>
      </c>
      <c r="E27" s="3">
        <v>34.200000000000003</v>
      </c>
      <c r="F27" s="1">
        <f t="shared" si="3"/>
        <v>2.6906506968942655E-2</v>
      </c>
      <c r="I27" s="6" t="s">
        <v>2</v>
      </c>
      <c r="J27" s="14" t="s">
        <v>15</v>
      </c>
      <c r="K27" s="21">
        <f>K12</f>
        <v>25336.920000000002</v>
      </c>
      <c r="L27" s="12">
        <f t="shared" si="4"/>
        <v>0.18748453066714596</v>
      </c>
    </row>
    <row r="28" spans="2:13" ht="15" x14ac:dyDescent="0.25">
      <c r="C28" s="81" t="s">
        <v>3</v>
      </c>
      <c r="D28" s="14" t="s">
        <v>4</v>
      </c>
      <c r="E28" s="2">
        <v>1142.5</v>
      </c>
      <c r="F28" s="1">
        <f t="shared" si="3"/>
        <v>0.89885041555605205</v>
      </c>
      <c r="I28" s="76" t="s">
        <v>3</v>
      </c>
      <c r="J28" s="14" t="s">
        <v>5</v>
      </c>
      <c r="K28" s="21">
        <f>K14</f>
        <v>8489.7897400000002</v>
      </c>
      <c r="L28" s="12">
        <f t="shared" si="4"/>
        <v>6.2821536511409079E-2</v>
      </c>
    </row>
    <row r="29" spans="2:13" ht="15" x14ac:dyDescent="0.25">
      <c r="C29" s="76"/>
      <c r="D29" s="14" t="s">
        <v>5</v>
      </c>
      <c r="E29" s="2">
        <v>5.23</v>
      </c>
      <c r="F29" s="1">
        <f t="shared" si="3"/>
        <v>4.114650042326611E-3</v>
      </c>
      <c r="I29" s="77"/>
      <c r="J29" s="14" t="s">
        <v>6</v>
      </c>
      <c r="K29" s="21">
        <f>K15</f>
        <v>28009.556400000001</v>
      </c>
      <c r="L29" s="12">
        <f t="shared" si="4"/>
        <v>0.20726112470848682</v>
      </c>
    </row>
    <row r="30" spans="2:13" ht="15" x14ac:dyDescent="0.25">
      <c r="C30" s="77"/>
      <c r="D30" s="14" t="s">
        <v>6</v>
      </c>
      <c r="E30" s="2">
        <v>15.32</v>
      </c>
      <c r="F30" s="1">
        <f t="shared" si="3"/>
        <v>1.2052856338134545E-2</v>
      </c>
      <c r="I30" s="7" t="s">
        <v>16</v>
      </c>
      <c r="J30" s="14" t="s">
        <v>9</v>
      </c>
      <c r="K30" s="21">
        <f>K16</f>
        <v>35939.071600000003</v>
      </c>
      <c r="L30" s="12">
        <f t="shared" si="4"/>
        <v>0.26593682150549292</v>
      </c>
    </row>
    <row r="31" spans="2:13" ht="15" x14ac:dyDescent="0.25">
      <c r="C31" s="7" t="s">
        <v>16</v>
      </c>
      <c r="D31" s="14" t="s">
        <v>9</v>
      </c>
      <c r="E31" s="2">
        <v>41.84</v>
      </c>
      <c r="F31" s="1">
        <f t="shared" si="3"/>
        <v>3.2917200338612888E-2</v>
      </c>
      <c r="I31" s="78" t="s">
        <v>7</v>
      </c>
      <c r="J31" s="14" t="s">
        <v>12</v>
      </c>
      <c r="K31" s="21">
        <f>K17</f>
        <v>8170.2679517351844</v>
      </c>
      <c r="L31" s="12">
        <f t="shared" si="4"/>
        <v>6.0457184707371492E-2</v>
      </c>
    </row>
    <row r="32" spans="2:13" ht="15" x14ac:dyDescent="0.25">
      <c r="C32" s="78" t="s">
        <v>7</v>
      </c>
      <c r="D32" s="14" t="s">
        <v>12</v>
      </c>
      <c r="E32" s="3">
        <v>8.9700000000000006</v>
      </c>
      <c r="F32" s="1">
        <f t="shared" si="3"/>
        <v>7.0570575295735563E-3</v>
      </c>
      <c r="I32" s="79"/>
      <c r="J32" s="14" t="s">
        <v>8</v>
      </c>
      <c r="K32" s="21">
        <f>K18</f>
        <v>14248.287893000001</v>
      </c>
      <c r="L32" s="12">
        <f t="shared" si="4"/>
        <v>0.10543245068577722</v>
      </c>
    </row>
    <row r="33" spans="3:13" ht="15" x14ac:dyDescent="0.25">
      <c r="C33" s="79"/>
      <c r="D33" s="14" t="s">
        <v>8</v>
      </c>
      <c r="E33" s="3">
        <v>17.52</v>
      </c>
      <c r="F33" s="1">
        <f t="shared" si="3"/>
        <v>1.3783684271809218E-2</v>
      </c>
      <c r="I33" s="80" t="s">
        <v>10</v>
      </c>
      <c r="J33" s="80"/>
      <c r="K33" s="72">
        <f>SUM(K25:K32)</f>
        <v>135141.38958473518</v>
      </c>
      <c r="L33" s="73"/>
      <c r="M33" s="22">
        <f>(K33-EXPLOITATION!K33)/EXPLOITATION!K33</f>
        <v>-0.15674284588518816</v>
      </c>
    </row>
    <row r="34" spans="3:13" ht="15" x14ac:dyDescent="0.2">
      <c r="C34" s="80" t="s">
        <v>10</v>
      </c>
      <c r="D34" s="80"/>
      <c r="E34" s="84">
        <f>SUM(E25:E33)</f>
        <v>1271.068</v>
      </c>
      <c r="F34" s="85"/>
      <c r="G34" s="17">
        <f>(E34-EXPLOITATION!E34)/EXPLOITATION!E34</f>
        <v>-1.0782433749330763E-3</v>
      </c>
    </row>
    <row r="37" spans="3:13" x14ac:dyDescent="0.2">
      <c r="C37" s="4" t="s">
        <v>20</v>
      </c>
      <c r="E37" s="5">
        <v>129</v>
      </c>
    </row>
    <row r="38" spans="3:13" x14ac:dyDescent="0.2">
      <c r="C38" s="9"/>
      <c r="D38" s="8"/>
      <c r="E38" s="11" t="s">
        <v>17</v>
      </c>
      <c r="F38" s="11" t="s">
        <v>18</v>
      </c>
    </row>
    <row r="39" spans="3:13" ht="25.5" x14ac:dyDescent="0.25">
      <c r="C39" s="74" t="s">
        <v>0</v>
      </c>
      <c r="D39" s="10" t="s">
        <v>13</v>
      </c>
      <c r="E39" s="23">
        <f>0.8*6.18</f>
        <v>4.944</v>
      </c>
      <c r="F39" s="1">
        <f>E39/E$48</f>
        <v>1.893822939371872E-3</v>
      </c>
    </row>
    <row r="40" spans="3:13" ht="15" x14ac:dyDescent="0.25">
      <c r="C40" s="75"/>
      <c r="D40" s="10" t="s">
        <v>11</v>
      </c>
      <c r="E40" s="2">
        <v>0</v>
      </c>
      <c r="F40" s="1">
        <f t="shared" ref="F40:F47" si="5">E40/E$48</f>
        <v>0</v>
      </c>
    </row>
    <row r="41" spans="3:13" ht="25.5" x14ac:dyDescent="0.25">
      <c r="C41" s="6" t="s">
        <v>2</v>
      </c>
      <c r="D41" s="14" t="s">
        <v>15</v>
      </c>
      <c r="E41" s="2">
        <v>72.12</v>
      </c>
      <c r="F41" s="1">
        <f t="shared" si="5"/>
        <v>2.7625912295206192E-2</v>
      </c>
    </row>
    <row r="42" spans="3:13" ht="15" x14ac:dyDescent="0.25">
      <c r="C42" s="81" t="s">
        <v>3</v>
      </c>
      <c r="D42" s="14" t="s">
        <v>4</v>
      </c>
      <c r="E42" s="2">
        <v>2286.6640737500002</v>
      </c>
      <c r="F42" s="1">
        <f t="shared" si="5"/>
        <v>0.87591765321708825</v>
      </c>
    </row>
    <row r="43" spans="3:13" ht="15" x14ac:dyDescent="0.25">
      <c r="C43" s="76"/>
      <c r="D43" s="14" t="s">
        <v>5</v>
      </c>
      <c r="E43" s="3">
        <v>36.261393333333338</v>
      </c>
      <c r="F43" s="1">
        <f t="shared" si="5"/>
        <v>1.3890100830957311E-2</v>
      </c>
    </row>
    <row r="44" spans="3:13" ht="15" x14ac:dyDescent="0.25">
      <c r="C44" s="77"/>
      <c r="D44" s="14" t="s">
        <v>6</v>
      </c>
      <c r="E44" s="2">
        <v>15.3216</v>
      </c>
      <c r="F44" s="1">
        <f t="shared" si="5"/>
        <v>5.8690124490048696E-3</v>
      </c>
    </row>
    <row r="45" spans="3:13" ht="15" x14ac:dyDescent="0.25">
      <c r="C45" s="7" t="s">
        <v>16</v>
      </c>
      <c r="D45" s="14" t="s">
        <v>9</v>
      </c>
      <c r="E45" s="2">
        <v>150.80706666666666</v>
      </c>
      <c r="F45" s="1">
        <f t="shared" si="5"/>
        <v>5.7767371009853664E-2</v>
      </c>
    </row>
    <row r="46" spans="3:13" ht="15" x14ac:dyDescent="0.25">
      <c r="C46" s="78" t="s">
        <v>7</v>
      </c>
      <c r="D46" s="14" t="s">
        <v>12</v>
      </c>
      <c r="E46" s="2">
        <v>13.861069393296001</v>
      </c>
      <c r="F46" s="1">
        <f t="shared" si="5"/>
        <v>5.3095491871458988E-3</v>
      </c>
    </row>
    <row r="47" spans="3:13" ht="15" x14ac:dyDescent="0.25">
      <c r="C47" s="79"/>
      <c r="D47" s="14" t="s">
        <v>8</v>
      </c>
      <c r="E47" s="2">
        <v>30.613317000000002</v>
      </c>
      <c r="F47" s="1">
        <f t="shared" si="5"/>
        <v>1.1726578071371946E-2</v>
      </c>
    </row>
    <row r="48" spans="3:13" ht="15" x14ac:dyDescent="0.2">
      <c r="C48" s="80" t="s">
        <v>10</v>
      </c>
      <c r="D48" s="80"/>
      <c r="E48" s="82">
        <f>SUM(E39:E47)</f>
        <v>2610.592520143296</v>
      </c>
      <c r="F48" s="83"/>
      <c r="G48" s="17">
        <f>(E48-EXPLOITATION!E48)/EXPLOITATION!E48</f>
        <v>-4.7323168059001003E-4</v>
      </c>
    </row>
  </sheetData>
  <mergeCells count="26">
    <mergeCell ref="C17:C18"/>
    <mergeCell ref="I17:I18"/>
    <mergeCell ref="G9:H9"/>
    <mergeCell ref="C10:C11"/>
    <mergeCell ref="I10:I11"/>
    <mergeCell ref="C13:C15"/>
    <mergeCell ref="I13:I15"/>
    <mergeCell ref="K33:L33"/>
    <mergeCell ref="C19:D19"/>
    <mergeCell ref="E19:F19"/>
    <mergeCell ref="I19:J19"/>
    <mergeCell ref="K19:L19"/>
    <mergeCell ref="C25:C26"/>
    <mergeCell ref="I25:I26"/>
    <mergeCell ref="C48:D48"/>
    <mergeCell ref="E48:F48"/>
    <mergeCell ref="C28:C30"/>
    <mergeCell ref="I28:I29"/>
    <mergeCell ref="I31:I32"/>
    <mergeCell ref="C32:C33"/>
    <mergeCell ref="I33:J33"/>
    <mergeCell ref="C34:D34"/>
    <mergeCell ref="E34:F34"/>
    <mergeCell ref="C39:C40"/>
    <mergeCell ref="C42:C44"/>
    <mergeCell ref="C46:C4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B2:M48"/>
  <sheetViews>
    <sheetView workbookViewId="0">
      <selection activeCell="B3" sqref="B3"/>
    </sheetView>
  </sheetViews>
  <sheetFormatPr baseColWidth="10" defaultColWidth="11.5703125" defaultRowHeight="12.75" x14ac:dyDescent="0.2"/>
  <cols>
    <col min="1" max="2" width="11.5703125" style="4"/>
    <col min="3" max="3" width="16.5703125" style="4" customWidth="1"/>
    <col min="4" max="4" width="42.7109375" style="4" customWidth="1"/>
    <col min="5" max="5" width="11.5703125" style="5"/>
    <col min="6" max="8" width="11.5703125" style="4"/>
    <col min="9" max="9" width="16.28515625" style="4" customWidth="1"/>
    <col min="10" max="10" width="42.42578125" style="4" customWidth="1"/>
    <col min="11" max="16384" width="11.5703125" style="4"/>
  </cols>
  <sheetData>
    <row r="2" spans="2:12" ht="20.25" x14ac:dyDescent="0.3">
      <c r="B2" s="56" t="s">
        <v>46</v>
      </c>
      <c r="C2" s="56"/>
      <c r="D2" s="56" t="s">
        <v>42</v>
      </c>
    </row>
    <row r="6" spans="2:12" x14ac:dyDescent="0.2">
      <c r="F6" s="4">
        <f>1523*23.15</f>
        <v>35257.449999999997</v>
      </c>
    </row>
    <row r="7" spans="2:12" x14ac:dyDescent="0.2">
      <c r="C7" s="4" t="s">
        <v>14</v>
      </c>
      <c r="E7" s="5">
        <v>1523</v>
      </c>
    </row>
    <row r="8" spans="2:12" x14ac:dyDescent="0.2">
      <c r="I8" s="4" t="s">
        <v>21</v>
      </c>
    </row>
    <row r="9" spans="2:12" x14ac:dyDescent="0.2">
      <c r="B9" s="8"/>
      <c r="C9" s="9"/>
      <c r="D9" s="8"/>
      <c r="E9" s="11" t="s">
        <v>17</v>
      </c>
      <c r="F9" s="11" t="s">
        <v>18</v>
      </c>
      <c r="G9" s="86"/>
      <c r="H9" s="86"/>
      <c r="I9" s="9"/>
      <c r="J9" s="8"/>
      <c r="K9" s="11" t="s">
        <v>17</v>
      </c>
      <c r="L9" s="11" t="s">
        <v>18</v>
      </c>
    </row>
    <row r="10" spans="2:12" ht="13.15" customHeight="1" x14ac:dyDescent="0.2">
      <c r="B10" s="8"/>
      <c r="C10" s="74" t="s">
        <v>0</v>
      </c>
      <c r="D10" s="10" t="s">
        <v>13</v>
      </c>
      <c r="E10" s="11">
        <v>5.26</v>
      </c>
      <c r="F10" s="12">
        <f>E10/E$19</f>
        <v>3.5354066066524824E-2</v>
      </c>
      <c r="G10" s="16"/>
      <c r="H10" s="17"/>
      <c r="I10" s="74" t="s">
        <v>0</v>
      </c>
      <c r="J10" s="10" t="s">
        <v>13</v>
      </c>
      <c r="K10" s="21">
        <f>E10*$E$7+E25*$E$23+E39*$E$37</f>
        <v>11511.039999999999</v>
      </c>
      <c r="L10" s="12">
        <f>K10/K$19</f>
        <v>1.1074348158339341E-2</v>
      </c>
    </row>
    <row r="11" spans="2:12" ht="13.15" customHeight="1" x14ac:dyDescent="0.2">
      <c r="B11" s="8"/>
      <c r="C11" s="75"/>
      <c r="D11" s="10" t="s">
        <v>11</v>
      </c>
      <c r="E11" s="11">
        <v>18.75</v>
      </c>
      <c r="F11" s="12">
        <f t="shared" ref="F11:F18" si="0">E11/E$19</f>
        <v>0.12602447504702291</v>
      </c>
      <c r="G11" s="16"/>
      <c r="H11" s="17"/>
      <c r="I11" s="75"/>
      <c r="J11" s="10" t="s">
        <v>11</v>
      </c>
      <c r="K11" s="21">
        <f t="shared" ref="K11:K18" si="1">E11*$E$7+E26*$E$23+E40*$E$37</f>
        <v>28556.25</v>
      </c>
      <c r="L11" s="12">
        <f t="shared" ref="L11:L18" si="2">K11/K$19</f>
        <v>2.7472917703055311E-2</v>
      </c>
    </row>
    <row r="12" spans="2:12" ht="25.5" x14ac:dyDescent="0.2">
      <c r="B12" s="8"/>
      <c r="C12" s="6" t="s">
        <v>2</v>
      </c>
      <c r="D12" s="14" t="s">
        <v>15</v>
      </c>
      <c r="E12" s="25">
        <f>1.68/(34.2/4.16)</f>
        <v>0.20435087719298242</v>
      </c>
      <c r="F12" s="12">
        <f t="shared" si="0"/>
        <v>1.3735046412610269E-3</v>
      </c>
      <c r="G12" s="18"/>
      <c r="H12" s="17"/>
      <c r="I12" s="6" t="s">
        <v>2</v>
      </c>
      <c r="J12" s="14" t="s">
        <v>15</v>
      </c>
      <c r="K12" s="21">
        <f t="shared" si="1"/>
        <v>3081.9177543859646</v>
      </c>
      <c r="L12" s="12">
        <f t="shared" si="2"/>
        <v>2.9649997052775012E-3</v>
      </c>
    </row>
    <row r="13" spans="2:12" ht="13.15" customHeight="1" x14ac:dyDescent="0.2">
      <c r="B13" s="8"/>
      <c r="C13" s="81" t="s">
        <v>3</v>
      </c>
      <c r="D13" s="14" t="s">
        <v>4</v>
      </c>
      <c r="E13" s="11">
        <v>107.3</v>
      </c>
      <c r="F13" s="12">
        <f t="shared" si="0"/>
        <v>0.72119606253576307</v>
      </c>
      <c r="G13" s="16"/>
      <c r="H13" s="17"/>
      <c r="I13" s="81" t="s">
        <v>3</v>
      </c>
      <c r="J13" s="14" t="s">
        <v>4</v>
      </c>
      <c r="K13" s="21">
        <f t="shared" si="1"/>
        <v>908542.56551375007</v>
      </c>
      <c r="L13" s="12">
        <f t="shared" si="2"/>
        <v>0.87407538216964742</v>
      </c>
    </row>
    <row r="14" spans="2:12" ht="13.15" customHeight="1" x14ac:dyDescent="0.2">
      <c r="B14" s="8"/>
      <c r="C14" s="76"/>
      <c r="D14" s="14" t="s">
        <v>5</v>
      </c>
      <c r="E14" s="11">
        <v>1.1499999999999999</v>
      </c>
      <c r="F14" s="12">
        <f t="shared" si="0"/>
        <v>7.7295011362174034E-3</v>
      </c>
      <c r="G14" s="16"/>
      <c r="H14" s="17"/>
      <c r="I14" s="76"/>
      <c r="J14" s="14" t="s">
        <v>5</v>
      </c>
      <c r="K14" s="21">
        <f t="shared" si="1"/>
        <v>8489.7897400000002</v>
      </c>
      <c r="L14" s="12">
        <f t="shared" si="2"/>
        <v>8.1677144177986737E-3</v>
      </c>
    </row>
    <row r="15" spans="2:12" ht="13.15" customHeight="1" x14ac:dyDescent="0.2">
      <c r="B15" s="8"/>
      <c r="C15" s="77"/>
      <c r="D15" s="14" t="s">
        <v>6</v>
      </c>
      <c r="E15" s="11">
        <v>13.13</v>
      </c>
      <c r="F15" s="12">
        <f t="shared" si="0"/>
        <v>8.825073905959524E-2</v>
      </c>
      <c r="G15" s="16"/>
      <c r="H15" s="17"/>
      <c r="I15" s="77"/>
      <c r="J15" s="14" t="s">
        <v>6</v>
      </c>
      <c r="K15" s="21">
        <f t="shared" si="1"/>
        <v>28009.556400000001</v>
      </c>
      <c r="L15" s="12">
        <f t="shared" si="2"/>
        <v>2.6946963900242024E-2</v>
      </c>
    </row>
    <row r="16" spans="2:12" x14ac:dyDescent="0.2">
      <c r="B16" s="8"/>
      <c r="C16" s="7" t="s">
        <v>16</v>
      </c>
      <c r="D16" s="14" t="s">
        <v>9</v>
      </c>
      <c r="E16" s="11">
        <v>0</v>
      </c>
      <c r="F16" s="12">
        <f t="shared" si="0"/>
        <v>0</v>
      </c>
      <c r="G16" s="16"/>
      <c r="H16" s="17"/>
      <c r="I16" s="7" t="s">
        <v>16</v>
      </c>
      <c r="J16" s="14" t="s">
        <v>9</v>
      </c>
      <c r="K16" s="21">
        <f t="shared" si="1"/>
        <v>35939.071600000003</v>
      </c>
      <c r="L16" s="12">
        <f t="shared" si="2"/>
        <v>3.457565879241891E-2</v>
      </c>
    </row>
    <row r="17" spans="2:13" x14ac:dyDescent="0.2">
      <c r="B17" s="8"/>
      <c r="C17" s="78" t="s">
        <v>7</v>
      </c>
      <c r="D17" s="14" t="s">
        <v>12</v>
      </c>
      <c r="E17" s="11">
        <v>1.87</v>
      </c>
      <c r="F17" s="12">
        <f t="shared" si="0"/>
        <v>1.2568840978023084E-2</v>
      </c>
      <c r="G17" s="18"/>
      <c r="H17" s="17"/>
      <c r="I17" s="78" t="s">
        <v>7</v>
      </c>
      <c r="J17" s="14" t="s">
        <v>12</v>
      </c>
      <c r="K17" s="21">
        <f t="shared" si="1"/>
        <v>8170.2679517351844</v>
      </c>
      <c r="L17" s="12">
        <f t="shared" si="2"/>
        <v>7.8603142586975185E-3</v>
      </c>
    </row>
    <row r="18" spans="2:13" ht="13.15" customHeight="1" x14ac:dyDescent="0.2">
      <c r="B18" s="8"/>
      <c r="C18" s="79"/>
      <c r="D18" s="14" t="s">
        <v>8</v>
      </c>
      <c r="E18" s="13">
        <f>(8.77/17.52)*2.23</f>
        <v>1.1162728310502283</v>
      </c>
      <c r="F18" s="12">
        <f t="shared" si="0"/>
        <v>7.5028105355924857E-3</v>
      </c>
      <c r="G18" s="18"/>
      <c r="H18" s="17"/>
      <c r="I18" s="79"/>
      <c r="J18" s="14" t="s">
        <v>8</v>
      </c>
      <c r="K18" s="21">
        <f t="shared" si="1"/>
        <v>7132.2765309138131</v>
      </c>
      <c r="L18" s="12">
        <f t="shared" si="2"/>
        <v>6.8617008945231961E-3</v>
      </c>
    </row>
    <row r="19" spans="2:13" ht="15" x14ac:dyDescent="0.2">
      <c r="B19" s="8"/>
      <c r="C19" s="80" t="s">
        <v>10</v>
      </c>
      <c r="D19" s="80"/>
      <c r="E19" s="84">
        <f>SUM(E10:E18)</f>
        <v>148.78062370824321</v>
      </c>
      <c r="F19" s="85"/>
      <c r="G19" s="17">
        <f>(E19-EXPLOITATION!E19)/EXPLOITATION!E19</f>
        <v>-1.7106271333532354E-2</v>
      </c>
      <c r="H19" s="19"/>
      <c r="I19" s="80" t="s">
        <v>10</v>
      </c>
      <c r="J19" s="80"/>
      <c r="K19" s="72">
        <f>SUM(K10:K18)</f>
        <v>1039432.7354907851</v>
      </c>
      <c r="L19" s="73"/>
      <c r="M19" s="22">
        <f>(K19-EXPLOITATION!K19)/EXPLOITATION!K19</f>
        <v>-2.7480268133859096E-2</v>
      </c>
    </row>
    <row r="20" spans="2:13" x14ac:dyDescent="0.2">
      <c r="B20" s="8"/>
      <c r="C20" s="8"/>
      <c r="D20" s="8"/>
      <c r="E20" s="15"/>
      <c r="F20" s="8"/>
      <c r="G20" s="19"/>
      <c r="H20" s="19"/>
      <c r="I20" s="20"/>
      <c r="J20" s="20"/>
    </row>
    <row r="23" spans="2:13" x14ac:dyDescent="0.2">
      <c r="C23" s="4" t="s">
        <v>19</v>
      </c>
      <c r="E23" s="5">
        <v>394</v>
      </c>
      <c r="I23" s="4" t="s">
        <v>22</v>
      </c>
    </row>
    <row r="24" spans="2:13" x14ac:dyDescent="0.2">
      <c r="C24" s="9"/>
      <c r="D24" s="8"/>
      <c r="E24" s="11" t="s">
        <v>17</v>
      </c>
      <c r="F24" s="11" t="s">
        <v>18</v>
      </c>
      <c r="I24" s="9"/>
      <c r="J24" s="8"/>
      <c r="K24" s="11" t="s">
        <v>17</v>
      </c>
      <c r="L24" s="11" t="s">
        <v>18</v>
      </c>
    </row>
    <row r="25" spans="2:13" ht="25.5" x14ac:dyDescent="0.25">
      <c r="C25" s="74" t="s">
        <v>0</v>
      </c>
      <c r="D25" s="10" t="s">
        <v>13</v>
      </c>
      <c r="E25" s="2">
        <v>6.86</v>
      </c>
      <c r="F25" s="1">
        <f>E25/E$34</f>
        <v>5.5607344060308846E-3</v>
      </c>
      <c r="I25" s="74" t="s">
        <v>0</v>
      </c>
      <c r="J25" s="10" t="s">
        <v>13</v>
      </c>
      <c r="K25" s="21">
        <f>K10</f>
        <v>11511.039999999999</v>
      </c>
      <c r="L25" s="12">
        <f>K25/K$33</f>
        <v>8.7944266571123281E-2</v>
      </c>
    </row>
    <row r="26" spans="2:13" ht="15" x14ac:dyDescent="0.25">
      <c r="C26" s="75"/>
      <c r="D26" s="10" t="s">
        <v>11</v>
      </c>
      <c r="E26" s="2">
        <v>0</v>
      </c>
      <c r="F26" s="1">
        <f t="shared" ref="F26:F33" si="3">E26/E$34</f>
        <v>0</v>
      </c>
      <c r="I26" s="75"/>
      <c r="J26" s="10" t="s">
        <v>11</v>
      </c>
      <c r="K26" s="21">
        <f>K11</f>
        <v>28556.25</v>
      </c>
      <c r="L26" s="12">
        <f t="shared" ref="L26:L32" si="4">K26/K$33</f>
        <v>0.21816955394748341</v>
      </c>
    </row>
    <row r="27" spans="2:13" ht="25.5" x14ac:dyDescent="0.25">
      <c r="C27" s="6" t="s">
        <v>2</v>
      </c>
      <c r="D27" s="14" t="s">
        <v>15</v>
      </c>
      <c r="E27" s="23">
        <v>4.16</v>
      </c>
      <c r="F27" s="1">
        <f t="shared" si="3"/>
        <v>3.3721071616747058E-3</v>
      </c>
      <c r="I27" s="6" t="s">
        <v>2</v>
      </c>
      <c r="J27" s="14" t="s">
        <v>15</v>
      </c>
      <c r="K27" s="21">
        <f>K12</f>
        <v>3081.9177543859646</v>
      </c>
      <c r="L27" s="12">
        <f t="shared" si="4"/>
        <v>2.3545830484647517E-2</v>
      </c>
    </row>
    <row r="28" spans="2:13" ht="15" x14ac:dyDescent="0.25">
      <c r="C28" s="81" t="s">
        <v>3</v>
      </c>
      <c r="D28" s="14" t="s">
        <v>4</v>
      </c>
      <c r="E28" s="2">
        <v>1142.5</v>
      </c>
      <c r="F28" s="1">
        <f t="shared" si="3"/>
        <v>0.92611356543590173</v>
      </c>
      <c r="I28" s="76" t="s">
        <v>3</v>
      </c>
      <c r="J28" s="14" t="s">
        <v>5</v>
      </c>
      <c r="K28" s="21">
        <f>K14</f>
        <v>8489.7897400000002</v>
      </c>
      <c r="L28" s="12">
        <f t="shared" si="4"/>
        <v>6.4861935327072753E-2</v>
      </c>
    </row>
    <row r="29" spans="2:13" ht="15" x14ac:dyDescent="0.25">
      <c r="C29" s="76"/>
      <c r="D29" s="14" t="s">
        <v>5</v>
      </c>
      <c r="E29" s="2">
        <v>5.23</v>
      </c>
      <c r="F29" s="1">
        <f t="shared" si="3"/>
        <v>4.2394520325862283E-3</v>
      </c>
      <c r="I29" s="77"/>
      <c r="J29" s="14" t="s">
        <v>6</v>
      </c>
      <c r="K29" s="21">
        <f>K15</f>
        <v>28009.556400000001</v>
      </c>
      <c r="L29" s="12">
        <f t="shared" si="4"/>
        <v>0.21399281859680033</v>
      </c>
    </row>
    <row r="30" spans="2:13" ht="15" x14ac:dyDescent="0.25">
      <c r="C30" s="77"/>
      <c r="D30" s="14" t="s">
        <v>6</v>
      </c>
      <c r="E30" s="2">
        <v>15.32</v>
      </c>
      <c r="F30" s="1">
        <f t="shared" si="3"/>
        <v>1.2418433105013579E-2</v>
      </c>
      <c r="I30" s="7" t="s">
        <v>16</v>
      </c>
      <c r="J30" s="14" t="s">
        <v>9</v>
      </c>
      <c r="K30" s="21">
        <f>K16</f>
        <v>35939.071600000003</v>
      </c>
      <c r="L30" s="12">
        <f t="shared" si="4"/>
        <v>0.27457426028482973</v>
      </c>
    </row>
    <row r="31" spans="2:13" ht="15" x14ac:dyDescent="0.25">
      <c r="C31" s="7" t="s">
        <v>16</v>
      </c>
      <c r="D31" s="14" t="s">
        <v>9</v>
      </c>
      <c r="E31" s="2">
        <v>41.84</v>
      </c>
      <c r="F31" s="1">
        <f t="shared" si="3"/>
        <v>3.3915616260689826E-2</v>
      </c>
      <c r="I31" s="78" t="s">
        <v>7</v>
      </c>
      <c r="J31" s="14" t="s">
        <v>12</v>
      </c>
      <c r="K31" s="21">
        <f>K17</f>
        <v>8170.2679517351844</v>
      </c>
      <c r="L31" s="12">
        <f t="shared" si="4"/>
        <v>6.2420791058401717E-2</v>
      </c>
    </row>
    <row r="32" spans="2:13" ht="15" x14ac:dyDescent="0.25">
      <c r="C32" s="78" t="s">
        <v>7</v>
      </c>
      <c r="D32" s="14" t="s">
        <v>12</v>
      </c>
      <c r="E32" s="3">
        <v>8.9700000000000006</v>
      </c>
      <c r="F32" s="1">
        <f t="shared" si="3"/>
        <v>7.271106067361084E-3</v>
      </c>
      <c r="I32" s="79"/>
      <c r="J32" s="14" t="s">
        <v>8</v>
      </c>
      <c r="K32" s="21">
        <f>K18</f>
        <v>7132.2765309138131</v>
      </c>
      <c r="L32" s="12">
        <f t="shared" si="4"/>
        <v>5.4490543729641357E-2</v>
      </c>
    </row>
    <row r="33" spans="3:13" ht="15" x14ac:dyDescent="0.25">
      <c r="C33" s="79"/>
      <c r="D33" s="14" t="s">
        <v>8</v>
      </c>
      <c r="E33" s="23">
        <f>(8.77/17.52)*17.52</f>
        <v>8.77</v>
      </c>
      <c r="F33" s="1">
        <f t="shared" si="3"/>
        <v>7.1089855307421073E-3</v>
      </c>
      <c r="I33" s="80" t="s">
        <v>10</v>
      </c>
      <c r="J33" s="80"/>
      <c r="K33" s="72">
        <f>SUM(K25:K32)</f>
        <v>130890.16997703495</v>
      </c>
      <c r="L33" s="73"/>
      <c r="M33" s="22">
        <f>(K33-EXPLOITATION!K33)/EXPLOITATION!K33</f>
        <v>-0.18326966612080983</v>
      </c>
    </row>
    <row r="34" spans="3:13" ht="15" x14ac:dyDescent="0.2">
      <c r="C34" s="80" t="s">
        <v>10</v>
      </c>
      <c r="D34" s="80"/>
      <c r="E34" s="84">
        <f>SUM(E25:E33)</f>
        <v>1233.6499999999999</v>
      </c>
      <c r="F34" s="85"/>
      <c r="G34" s="17">
        <f>(E34-EXPLOITATION!E34)/EXPLOITATION!E34</f>
        <v>-3.0484737983716301E-2</v>
      </c>
    </row>
    <row r="37" spans="3:13" x14ac:dyDescent="0.2">
      <c r="C37" s="4" t="s">
        <v>20</v>
      </c>
      <c r="E37" s="5">
        <v>129</v>
      </c>
    </row>
    <row r="38" spans="3:13" x14ac:dyDescent="0.2">
      <c r="C38" s="9"/>
      <c r="D38" s="8"/>
      <c r="E38" s="11" t="s">
        <v>17</v>
      </c>
      <c r="F38" s="11" t="s">
        <v>18</v>
      </c>
    </row>
    <row r="39" spans="3:13" ht="25.5" x14ac:dyDescent="0.25">
      <c r="C39" s="74" t="s">
        <v>0</v>
      </c>
      <c r="D39" s="10" t="s">
        <v>13</v>
      </c>
      <c r="E39" s="2">
        <v>6.18</v>
      </c>
      <c r="F39" s="1">
        <f>E39/E$48</f>
        <v>2.4396099561111921E-3</v>
      </c>
    </row>
    <row r="40" spans="3:13" ht="15" x14ac:dyDescent="0.25">
      <c r="C40" s="75"/>
      <c r="D40" s="10" t="s">
        <v>11</v>
      </c>
      <c r="E40" s="2">
        <v>0</v>
      </c>
      <c r="F40" s="1">
        <f t="shared" ref="F40:F47" si="5">E40/E$48</f>
        <v>0</v>
      </c>
    </row>
    <row r="41" spans="3:13" ht="25.5" x14ac:dyDescent="0.25">
      <c r="C41" s="6" t="s">
        <v>2</v>
      </c>
      <c r="D41" s="14" t="s">
        <v>15</v>
      </c>
      <c r="E41" s="23">
        <f>72.12/(34.2/4.16)</f>
        <v>8.7724912280701748</v>
      </c>
      <c r="F41" s="1">
        <f t="shared" si="5"/>
        <v>3.4630189223136079E-3</v>
      </c>
    </row>
    <row r="42" spans="3:13" ht="15" x14ac:dyDescent="0.25">
      <c r="C42" s="81" t="s">
        <v>3</v>
      </c>
      <c r="D42" s="14" t="s">
        <v>4</v>
      </c>
      <c r="E42" s="2">
        <v>2286.6640737500002</v>
      </c>
      <c r="F42" s="1">
        <f t="shared" si="5"/>
        <v>0.90268097744373421</v>
      </c>
    </row>
    <row r="43" spans="3:13" ht="15" x14ac:dyDescent="0.25">
      <c r="C43" s="76"/>
      <c r="D43" s="14" t="s">
        <v>5</v>
      </c>
      <c r="E43" s="3">
        <v>36.261393333333338</v>
      </c>
      <c r="F43" s="1">
        <f t="shared" si="5"/>
        <v>1.4314507475479615E-2</v>
      </c>
    </row>
    <row r="44" spans="3:13" ht="15" x14ac:dyDescent="0.25">
      <c r="C44" s="77"/>
      <c r="D44" s="14" t="s">
        <v>6</v>
      </c>
      <c r="E44" s="2">
        <v>15.3216</v>
      </c>
      <c r="F44" s="1">
        <f t="shared" si="5"/>
        <v>6.0483378484713982E-3</v>
      </c>
    </row>
    <row r="45" spans="3:13" ht="15" x14ac:dyDescent="0.25">
      <c r="C45" s="7" t="s">
        <v>16</v>
      </c>
      <c r="D45" s="14" t="s">
        <v>9</v>
      </c>
      <c r="E45" s="2">
        <v>150.80706666666666</v>
      </c>
      <c r="F45" s="1">
        <f t="shared" si="5"/>
        <v>5.9532430629761206E-2</v>
      </c>
    </row>
    <row r="46" spans="3:13" ht="15" x14ac:dyDescent="0.25">
      <c r="C46" s="78" t="s">
        <v>7</v>
      </c>
      <c r="D46" s="14" t="s">
        <v>12</v>
      </c>
      <c r="E46" s="2">
        <v>13.861069393296001</v>
      </c>
      <c r="F46" s="1">
        <f t="shared" si="5"/>
        <v>5.4717804035975797E-3</v>
      </c>
    </row>
    <row r="47" spans="3:13" ht="15" x14ac:dyDescent="0.25">
      <c r="C47" s="79"/>
      <c r="D47" s="14" t="s">
        <v>8</v>
      </c>
      <c r="E47" s="23">
        <f>(8.77/17.52)*30.613317</f>
        <v>15.324131854452055</v>
      </c>
      <c r="F47" s="1">
        <f t="shared" si="5"/>
        <v>6.0493373205310515E-3</v>
      </c>
    </row>
    <row r="48" spans="3:13" ht="15" x14ac:dyDescent="0.2">
      <c r="C48" s="80" t="s">
        <v>10</v>
      </c>
      <c r="D48" s="80"/>
      <c r="E48" s="82">
        <f>SUM(E39:E47)</f>
        <v>2533.1918262258187</v>
      </c>
      <c r="F48" s="83"/>
      <c r="G48" s="17">
        <f>(E48-EXPLOITATION!E48)/EXPLOITATION!E48</f>
        <v>-3.0107908429288215E-2</v>
      </c>
    </row>
  </sheetData>
  <mergeCells count="26">
    <mergeCell ref="C17:C18"/>
    <mergeCell ref="I17:I18"/>
    <mergeCell ref="G9:H9"/>
    <mergeCell ref="C10:C11"/>
    <mergeCell ref="I10:I11"/>
    <mergeCell ref="C13:C15"/>
    <mergeCell ref="I13:I15"/>
    <mergeCell ref="K33:L33"/>
    <mergeCell ref="C19:D19"/>
    <mergeCell ref="E19:F19"/>
    <mergeCell ref="I19:J19"/>
    <mergeCell ref="K19:L19"/>
    <mergeCell ref="C25:C26"/>
    <mergeCell ref="I25:I26"/>
    <mergeCell ref="C48:D48"/>
    <mergeCell ref="E48:F48"/>
    <mergeCell ref="C28:C30"/>
    <mergeCell ref="I28:I29"/>
    <mergeCell ref="I31:I32"/>
    <mergeCell ref="C32:C33"/>
    <mergeCell ref="I33:J33"/>
    <mergeCell ref="C34:D34"/>
    <mergeCell ref="E34:F34"/>
    <mergeCell ref="C39:C40"/>
    <mergeCell ref="C42:C44"/>
    <mergeCell ref="C46:C4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B7:AE108"/>
  <sheetViews>
    <sheetView topLeftCell="H10" zoomScaleNormal="100" workbookViewId="0">
      <selection activeCell="F42" sqref="F42"/>
    </sheetView>
  </sheetViews>
  <sheetFormatPr baseColWidth="10" defaultColWidth="11.5703125" defaultRowHeight="12.75" x14ac:dyDescent="0.2"/>
  <cols>
    <col min="1" max="2" width="11.5703125" style="4"/>
    <col min="3" max="3" width="16.5703125" style="4" customWidth="1"/>
    <col min="4" max="4" width="42.7109375" style="4" customWidth="1"/>
    <col min="5" max="5" width="9" style="4" bestFit="1" customWidth="1"/>
    <col min="6" max="6" width="12.42578125" style="5" bestFit="1" customWidth="1"/>
    <col min="7" max="8" width="11.5703125" style="4"/>
    <col min="9" max="9" width="16.28515625" style="4" customWidth="1"/>
    <col min="10" max="10" width="42.42578125" style="4" customWidth="1"/>
    <col min="11" max="12" width="12.42578125" style="4" bestFit="1" customWidth="1"/>
    <col min="13" max="14" width="11.5703125" style="4"/>
    <col min="15" max="15" width="15.7109375" style="4" customWidth="1"/>
    <col min="16" max="16" width="44.7109375" style="4" customWidth="1"/>
    <col min="17" max="17" width="8.7109375" style="4" bestFit="1" customWidth="1"/>
    <col min="18" max="18" width="6.28515625" style="4" bestFit="1" customWidth="1"/>
    <col min="19" max="19" width="7.5703125" style="4" bestFit="1" customWidth="1"/>
    <col min="20" max="20" width="11.5703125" style="4"/>
    <col min="21" max="21" width="10.7109375" style="4" customWidth="1"/>
    <col min="22" max="22" width="7.5703125" style="4" bestFit="1" customWidth="1"/>
    <col min="23" max="16384" width="11.5703125" style="4"/>
  </cols>
  <sheetData>
    <row r="7" spans="2:18" x14ac:dyDescent="0.2">
      <c r="C7" s="4" t="s">
        <v>14</v>
      </c>
      <c r="F7" s="5">
        <v>1523</v>
      </c>
    </row>
    <row r="8" spans="2:18" x14ac:dyDescent="0.2">
      <c r="I8" s="4" t="s">
        <v>21</v>
      </c>
      <c r="P8" s="4" t="s">
        <v>28</v>
      </c>
    </row>
    <row r="9" spans="2:18" x14ac:dyDescent="0.2">
      <c r="B9" s="8"/>
      <c r="C9" s="9"/>
      <c r="D9" s="8"/>
      <c r="E9" s="11" t="s">
        <v>25</v>
      </c>
      <c r="F9" s="11" t="s">
        <v>26</v>
      </c>
      <c r="G9" s="86"/>
      <c r="H9" s="86"/>
      <c r="I9" s="9"/>
      <c r="J9" s="8"/>
      <c r="K9" s="11" t="s">
        <v>25</v>
      </c>
      <c r="L9" s="11" t="s">
        <v>26</v>
      </c>
    </row>
    <row r="10" spans="2:18" ht="13.15" customHeight="1" x14ac:dyDescent="0.2">
      <c r="B10" s="8"/>
      <c r="C10" s="74" t="s">
        <v>0</v>
      </c>
      <c r="D10" s="10" t="s">
        <v>1</v>
      </c>
      <c r="E10" s="11">
        <v>5.26</v>
      </c>
      <c r="F10" s="62">
        <f>0.8*9.97</f>
        <v>7.9760000000000009</v>
      </c>
      <c r="G10" s="16"/>
      <c r="H10" s="17"/>
      <c r="I10" s="74" t="s">
        <v>0</v>
      </c>
      <c r="J10" s="10" t="s">
        <v>1</v>
      </c>
      <c r="K10" s="45">
        <f>EXPLOITATION!K10</f>
        <v>11511.039999999999</v>
      </c>
      <c r="L10" s="21">
        <f t="shared" ref="L10:L18" si="0">F10*$F$7+F25*$F$23+F39*$F$37</f>
        <v>14947.496000000003</v>
      </c>
      <c r="O10" s="74" t="s">
        <v>0</v>
      </c>
      <c r="P10" s="10" t="s">
        <v>1</v>
      </c>
      <c r="Q10" s="49">
        <f>L10-K10</f>
        <v>3436.4560000000038</v>
      </c>
      <c r="R10" s="48">
        <f>(L10-K10)/K10</f>
        <v>0.29853566662960113</v>
      </c>
    </row>
    <row r="11" spans="2:18" ht="13.15" customHeight="1" x14ac:dyDescent="0.2">
      <c r="B11" s="8"/>
      <c r="C11" s="75"/>
      <c r="D11" s="10" t="s">
        <v>11</v>
      </c>
      <c r="E11" s="11">
        <v>18.75</v>
      </c>
      <c r="F11" s="62">
        <v>0</v>
      </c>
      <c r="G11" s="16"/>
      <c r="H11" s="17"/>
      <c r="I11" s="75"/>
      <c r="J11" s="10" t="s">
        <v>11</v>
      </c>
      <c r="K11" s="45">
        <f>EXPLOITATION!K11</f>
        <v>28556.25</v>
      </c>
      <c r="L11" s="21">
        <f t="shared" si="0"/>
        <v>0</v>
      </c>
      <c r="O11" s="75"/>
      <c r="P11" s="10" t="s">
        <v>11</v>
      </c>
      <c r="Q11" s="49">
        <f t="shared" ref="Q11:Q19" si="1">L11-K11</f>
        <v>-28556.25</v>
      </c>
      <c r="R11" s="48">
        <f t="shared" ref="R11:R18" si="2">(L11-K11)/K11</f>
        <v>-1</v>
      </c>
    </row>
    <row r="12" spans="2:18" x14ac:dyDescent="0.2">
      <c r="B12" s="8"/>
      <c r="C12" s="6" t="s">
        <v>2</v>
      </c>
      <c r="D12" s="14" t="s">
        <v>27</v>
      </c>
      <c r="E12" s="11">
        <v>1.68</v>
      </c>
      <c r="F12" s="62">
        <v>0.2</v>
      </c>
      <c r="G12" s="18"/>
      <c r="H12" s="17"/>
      <c r="I12" s="6" t="s">
        <v>2</v>
      </c>
      <c r="J12" s="14" t="s">
        <v>27</v>
      </c>
      <c r="K12" s="45">
        <f>EXPLOITATION!K12</f>
        <v>25336.920000000002</v>
      </c>
      <c r="L12" s="21">
        <f t="shared" si="0"/>
        <v>3074.97</v>
      </c>
      <c r="O12" s="6" t="s">
        <v>2</v>
      </c>
      <c r="P12" s="14" t="s">
        <v>27</v>
      </c>
      <c r="Q12" s="49">
        <f t="shared" si="1"/>
        <v>-22261.95</v>
      </c>
      <c r="R12" s="48">
        <f t="shared" si="2"/>
        <v>-0.878636787738999</v>
      </c>
    </row>
    <row r="13" spans="2:18" ht="13.15" customHeight="1" x14ac:dyDescent="0.2">
      <c r="B13" s="8"/>
      <c r="C13" s="81" t="s">
        <v>3</v>
      </c>
      <c r="D13" s="14" t="s">
        <v>4</v>
      </c>
      <c r="E13" s="11">
        <v>107.3</v>
      </c>
      <c r="F13" s="62">
        <v>85.84</v>
      </c>
      <c r="G13" s="16"/>
      <c r="H13" s="17"/>
      <c r="I13" s="81" t="s">
        <v>3</v>
      </c>
      <c r="J13" s="14" t="s">
        <v>4</v>
      </c>
      <c r="K13" s="45">
        <f>EXPLOITATION!K13</f>
        <v>908542.56551375007</v>
      </c>
      <c r="L13" s="21">
        <f t="shared" si="0"/>
        <v>775122.62</v>
      </c>
      <c r="O13" s="81" t="s">
        <v>3</v>
      </c>
      <c r="P13" s="14" t="s">
        <v>4</v>
      </c>
      <c r="Q13" s="49">
        <f t="shared" si="1"/>
        <v>-133419.94551375008</v>
      </c>
      <c r="R13" s="48">
        <f t="shared" si="2"/>
        <v>-0.14685051705673868</v>
      </c>
    </row>
    <row r="14" spans="2:18" ht="13.15" customHeight="1" x14ac:dyDescent="0.2">
      <c r="B14" s="8"/>
      <c r="C14" s="76"/>
      <c r="D14" s="14" t="s">
        <v>5</v>
      </c>
      <c r="E14" s="11">
        <v>1.1499999999999999</v>
      </c>
      <c r="F14" s="62">
        <v>0.55000000000000004</v>
      </c>
      <c r="G14" s="16"/>
      <c r="H14" s="17"/>
      <c r="I14" s="76"/>
      <c r="J14" s="14" t="s">
        <v>5</v>
      </c>
      <c r="K14" s="45">
        <f>EXPLOITATION!K14</f>
        <v>8489.7897400000002</v>
      </c>
      <c r="L14" s="21">
        <f t="shared" si="0"/>
        <v>2276.88</v>
      </c>
      <c r="O14" s="76"/>
      <c r="P14" s="14" t="s">
        <v>5</v>
      </c>
      <c r="Q14" s="49">
        <f t="shared" si="1"/>
        <v>-6212.9097400000001</v>
      </c>
      <c r="R14" s="48">
        <f t="shared" si="2"/>
        <v>-0.73180961251933196</v>
      </c>
    </row>
    <row r="15" spans="2:18" ht="13.15" customHeight="1" x14ac:dyDescent="0.2">
      <c r="B15" s="8"/>
      <c r="C15" s="77"/>
      <c r="D15" s="14" t="s">
        <v>6</v>
      </c>
      <c r="E15" s="11">
        <v>13.13</v>
      </c>
      <c r="F15" s="62">
        <v>5.78</v>
      </c>
      <c r="G15" s="16"/>
      <c r="H15" s="17"/>
      <c r="I15" s="77"/>
      <c r="J15" s="14" t="s">
        <v>6</v>
      </c>
      <c r="K15" s="45">
        <f>EXPLOITATION!K15</f>
        <v>28009.556400000001</v>
      </c>
      <c r="L15" s="21">
        <f t="shared" si="0"/>
        <v>16815.506400000002</v>
      </c>
      <c r="O15" s="77"/>
      <c r="P15" s="14" t="s">
        <v>6</v>
      </c>
      <c r="Q15" s="49">
        <f t="shared" si="1"/>
        <v>-11194.05</v>
      </c>
      <c r="R15" s="48">
        <f t="shared" si="2"/>
        <v>-0.399651099079884</v>
      </c>
    </row>
    <row r="16" spans="2:18" x14ac:dyDescent="0.2">
      <c r="B16" s="8"/>
      <c r="C16" s="7" t="s">
        <v>16</v>
      </c>
      <c r="D16" s="14" t="s">
        <v>9</v>
      </c>
      <c r="E16" s="11">
        <v>0</v>
      </c>
      <c r="F16" s="62">
        <v>0</v>
      </c>
      <c r="G16" s="16"/>
      <c r="H16" s="17"/>
      <c r="I16" s="7" t="s">
        <v>16</v>
      </c>
      <c r="J16" s="14" t="s">
        <v>9</v>
      </c>
      <c r="K16" s="45">
        <f>EXPLOITATION!K16</f>
        <v>35939.071600000003</v>
      </c>
      <c r="L16" s="21">
        <f t="shared" si="0"/>
        <v>35939.071600000003</v>
      </c>
      <c r="O16" s="7" t="s">
        <v>16</v>
      </c>
      <c r="P16" s="14" t="s">
        <v>9</v>
      </c>
      <c r="Q16" s="49">
        <f t="shared" si="1"/>
        <v>0</v>
      </c>
      <c r="R16" s="48">
        <f t="shared" si="2"/>
        <v>0</v>
      </c>
    </row>
    <row r="17" spans="2:31" x14ac:dyDescent="0.2">
      <c r="B17" s="8"/>
      <c r="C17" s="78" t="s">
        <v>7</v>
      </c>
      <c r="D17" s="14" t="s">
        <v>12</v>
      </c>
      <c r="E17" s="11">
        <v>1.87</v>
      </c>
      <c r="F17" s="11">
        <v>1.87</v>
      </c>
      <c r="G17" s="18"/>
      <c r="H17" s="17"/>
      <c r="I17" s="78" t="s">
        <v>7</v>
      </c>
      <c r="J17" s="14" t="s">
        <v>12</v>
      </c>
      <c r="K17" s="45">
        <f>EXPLOITATION!K17</f>
        <v>8170.2679517351844</v>
      </c>
      <c r="L17" s="21">
        <f t="shared" si="0"/>
        <v>8170.2679517351844</v>
      </c>
      <c r="O17" s="78" t="s">
        <v>7</v>
      </c>
      <c r="P17" s="14" t="s">
        <v>12</v>
      </c>
      <c r="Q17" s="49">
        <f t="shared" si="1"/>
        <v>0</v>
      </c>
      <c r="R17" s="48">
        <f t="shared" si="2"/>
        <v>0</v>
      </c>
    </row>
    <row r="18" spans="2:31" ht="13.15" customHeight="1" x14ac:dyDescent="0.2">
      <c r="B18" s="8"/>
      <c r="C18" s="79"/>
      <c r="D18" s="14" t="s">
        <v>8</v>
      </c>
      <c r="E18" s="11">
        <v>2.23</v>
      </c>
      <c r="F18" s="11">
        <v>1.1200000000000001</v>
      </c>
      <c r="G18" s="18"/>
      <c r="H18" s="17"/>
      <c r="I18" s="79"/>
      <c r="J18" s="14" t="s">
        <v>8</v>
      </c>
      <c r="K18" s="45">
        <f>EXPLOITATION!K18</f>
        <v>14248.287893000001</v>
      </c>
      <c r="L18" s="21">
        <f t="shared" si="0"/>
        <v>7137.4199999999992</v>
      </c>
      <c r="O18" s="79"/>
      <c r="P18" s="14" t="s">
        <v>8</v>
      </c>
      <c r="Q18" s="49">
        <f t="shared" si="1"/>
        <v>-7110.8678930000015</v>
      </c>
      <c r="R18" s="48">
        <f t="shared" si="2"/>
        <v>-0.49906823517325749</v>
      </c>
    </row>
    <row r="19" spans="2:31" ht="15" x14ac:dyDescent="0.2">
      <c r="B19" s="8"/>
      <c r="C19" s="80" t="s">
        <v>10</v>
      </c>
      <c r="D19" s="80"/>
      <c r="E19" s="26">
        <f>SUM(E10:E18)</f>
        <v>151.37</v>
      </c>
      <c r="F19" s="28">
        <f>SUM(F10:F18)</f>
        <v>103.33600000000001</v>
      </c>
      <c r="G19" s="17">
        <f>(F19-EXPLOITATION!E19)/EXPLOITATION!E19</f>
        <v>-0.31732840060778217</v>
      </c>
      <c r="H19" s="19"/>
      <c r="I19" s="80" t="s">
        <v>10</v>
      </c>
      <c r="J19" s="80"/>
      <c r="K19" s="46">
        <f>SUM(K10:K18)</f>
        <v>1068803.7490984853</v>
      </c>
      <c r="L19" s="47">
        <f>SUM(L10:L18)</f>
        <v>863484.23195173522</v>
      </c>
      <c r="M19" s="22">
        <f>(L19-EXPLOITATION!K19)/EXPLOITATION!K19</f>
        <v>-0.19210216779266825</v>
      </c>
      <c r="Q19" s="49">
        <f t="shared" si="1"/>
        <v>-205319.51714675012</v>
      </c>
    </row>
    <row r="20" spans="2:31" x14ac:dyDescent="0.2">
      <c r="B20" s="8"/>
      <c r="C20" s="8"/>
      <c r="D20" s="8"/>
      <c r="E20" s="8"/>
      <c r="F20" s="15"/>
      <c r="G20" s="19"/>
      <c r="H20" s="19"/>
      <c r="I20" s="20"/>
      <c r="J20" s="20"/>
      <c r="K20" s="20"/>
    </row>
    <row r="23" spans="2:31" x14ac:dyDescent="0.2">
      <c r="C23" s="4" t="s">
        <v>19</v>
      </c>
      <c r="F23" s="5">
        <v>394</v>
      </c>
      <c r="I23" s="4" t="s">
        <v>22</v>
      </c>
    </row>
    <row r="24" spans="2:31" x14ac:dyDescent="0.2">
      <c r="C24" s="9"/>
      <c r="D24" s="8"/>
      <c r="E24" s="11" t="s">
        <v>25</v>
      </c>
      <c r="F24" s="11" t="s">
        <v>26</v>
      </c>
      <c r="I24" s="9"/>
      <c r="J24" s="8"/>
      <c r="K24" s="8"/>
      <c r="L24" s="11" t="s">
        <v>17</v>
      </c>
      <c r="Q24" s="87" t="s">
        <v>29</v>
      </c>
      <c r="R24" s="87"/>
      <c r="S24" s="87" t="s">
        <v>30</v>
      </c>
      <c r="T24" s="87"/>
      <c r="U24" s="87" t="s">
        <v>31</v>
      </c>
      <c r="V24" s="87"/>
      <c r="W24" s="59"/>
      <c r="X24" s="59"/>
      <c r="Y24" s="59"/>
      <c r="Z24" s="59"/>
      <c r="AA24" s="59"/>
      <c r="AB24" s="59"/>
      <c r="AC24" s="59"/>
      <c r="AD24" s="59"/>
      <c r="AE24" s="59"/>
    </row>
    <row r="25" spans="2:31" ht="15" x14ac:dyDescent="0.25">
      <c r="C25" s="74" t="s">
        <v>0</v>
      </c>
      <c r="D25" s="10" t="s">
        <v>1</v>
      </c>
      <c r="E25" s="2">
        <v>6.86</v>
      </c>
      <c r="F25" s="3">
        <f>0.8*6.86</f>
        <v>5.4880000000000004</v>
      </c>
      <c r="I25" s="74" t="s">
        <v>0</v>
      </c>
      <c r="J25" s="10" t="s">
        <v>1</v>
      </c>
      <c r="K25" s="45">
        <f>EXPLOITATION!K25</f>
        <v>11511.039999999999</v>
      </c>
      <c r="L25" s="21">
        <f>L10</f>
        <v>14947.496000000003</v>
      </c>
      <c r="Q25" s="52">
        <v>2020</v>
      </c>
      <c r="R25" s="52">
        <v>2030</v>
      </c>
      <c r="S25" s="52">
        <v>2020</v>
      </c>
      <c r="T25" s="52">
        <v>2030</v>
      </c>
      <c r="U25" s="52">
        <v>2020</v>
      </c>
      <c r="V25" s="52">
        <v>2030</v>
      </c>
      <c r="W25" s="58"/>
      <c r="X25" s="58"/>
      <c r="Y25" s="58"/>
      <c r="Z25" s="58"/>
      <c r="AA25" s="58"/>
      <c r="AB25" s="58"/>
      <c r="AC25" s="58"/>
      <c r="AD25" s="58"/>
      <c r="AE25" s="58"/>
    </row>
    <row r="26" spans="2:31" ht="15" x14ac:dyDescent="0.25">
      <c r="C26" s="75"/>
      <c r="D26" s="10" t="s">
        <v>11</v>
      </c>
      <c r="E26" s="2">
        <v>0</v>
      </c>
      <c r="F26" s="3">
        <v>0</v>
      </c>
      <c r="I26" s="75"/>
      <c r="J26" s="10" t="s">
        <v>11</v>
      </c>
      <c r="K26" s="45">
        <f>EXPLOITATION!K26</f>
        <v>28556.25</v>
      </c>
      <c r="L26" s="21">
        <f>L11</f>
        <v>0</v>
      </c>
      <c r="O26" s="74" t="s">
        <v>0</v>
      </c>
      <c r="P26" s="10" t="s">
        <v>1</v>
      </c>
      <c r="Q26" s="52">
        <f t="shared" ref="Q26:Q34" si="3">E10</f>
        <v>5.26</v>
      </c>
      <c r="R26" s="52">
        <f t="shared" ref="R26:R34" si="4">F10</f>
        <v>7.9760000000000009</v>
      </c>
      <c r="S26" s="53">
        <f t="shared" ref="S26:S34" si="5">E25</f>
        <v>6.86</v>
      </c>
      <c r="T26" s="53">
        <f t="shared" ref="T26:T34" si="6">F25</f>
        <v>5.4880000000000004</v>
      </c>
      <c r="U26" s="53">
        <f t="shared" ref="U26:U34" si="7">E39</f>
        <v>6.18</v>
      </c>
      <c r="V26" s="53">
        <f t="shared" ref="V26:V34" si="8">F39</f>
        <v>4.944</v>
      </c>
      <c r="W26" s="58"/>
      <c r="X26" s="58"/>
      <c r="Y26" s="58"/>
      <c r="Z26" s="58"/>
      <c r="AA26" s="58"/>
      <c r="AB26" s="58"/>
      <c r="AC26" s="58"/>
      <c r="AD26" s="58"/>
      <c r="AE26" s="58"/>
    </row>
    <row r="27" spans="2:31" ht="15" x14ac:dyDescent="0.25">
      <c r="C27" s="6" t="s">
        <v>2</v>
      </c>
      <c r="D27" s="14" t="s">
        <v>27</v>
      </c>
      <c r="E27" s="3">
        <v>34.200000000000003</v>
      </c>
      <c r="F27" s="3">
        <v>4.16</v>
      </c>
      <c r="I27" s="6" t="s">
        <v>2</v>
      </c>
      <c r="J27" s="14" t="s">
        <v>27</v>
      </c>
      <c r="K27" s="45">
        <f>EXPLOITATION!K27</f>
        <v>25336.920000000002</v>
      </c>
      <c r="L27" s="21">
        <f>L12</f>
        <v>3074.97</v>
      </c>
      <c r="O27" s="75"/>
      <c r="P27" s="10" t="s">
        <v>11</v>
      </c>
      <c r="Q27" s="52">
        <f t="shared" si="3"/>
        <v>18.75</v>
      </c>
      <c r="R27" s="52">
        <f t="shared" si="4"/>
        <v>0</v>
      </c>
      <c r="S27" s="53">
        <f t="shared" si="5"/>
        <v>0</v>
      </c>
      <c r="T27" s="53">
        <f t="shared" si="6"/>
        <v>0</v>
      </c>
      <c r="U27" s="53">
        <f t="shared" si="7"/>
        <v>0</v>
      </c>
      <c r="V27" s="53">
        <f t="shared" si="8"/>
        <v>0</v>
      </c>
      <c r="W27" s="60"/>
      <c r="X27" s="60"/>
      <c r="Y27" s="60"/>
      <c r="Z27" s="60"/>
      <c r="AA27" s="60"/>
      <c r="AB27" s="60"/>
      <c r="AC27" s="60"/>
      <c r="AD27" s="60"/>
      <c r="AE27" s="60"/>
    </row>
    <row r="28" spans="2:31" ht="15" x14ac:dyDescent="0.25">
      <c r="C28" s="81" t="s">
        <v>3</v>
      </c>
      <c r="D28" s="14" t="s">
        <v>4</v>
      </c>
      <c r="E28" s="2">
        <v>1142.5</v>
      </c>
      <c r="F28" s="3">
        <v>987</v>
      </c>
      <c r="I28" s="76" t="s">
        <v>3</v>
      </c>
      <c r="J28" s="14" t="s">
        <v>5</v>
      </c>
      <c r="K28" s="45">
        <f>EXPLOITATION!K28</f>
        <v>8489.7897400000002</v>
      </c>
      <c r="L28" s="21">
        <f>L14</f>
        <v>2276.88</v>
      </c>
      <c r="O28" s="6" t="s">
        <v>2</v>
      </c>
      <c r="P28" s="10" t="s">
        <v>27</v>
      </c>
      <c r="Q28" s="52">
        <f t="shared" si="3"/>
        <v>1.68</v>
      </c>
      <c r="R28" s="52">
        <f t="shared" si="4"/>
        <v>0.2</v>
      </c>
      <c r="S28" s="53">
        <f t="shared" si="5"/>
        <v>34.200000000000003</v>
      </c>
      <c r="T28" s="53">
        <f t="shared" si="6"/>
        <v>4.16</v>
      </c>
      <c r="U28" s="53">
        <f t="shared" si="7"/>
        <v>72.12</v>
      </c>
      <c r="V28" s="53">
        <f t="shared" si="8"/>
        <v>8.77</v>
      </c>
      <c r="W28" s="60"/>
      <c r="X28" s="60"/>
      <c r="Y28" s="60"/>
      <c r="Z28" s="60"/>
      <c r="AA28" s="60"/>
      <c r="AB28" s="60"/>
      <c r="AC28" s="60"/>
      <c r="AD28" s="60"/>
      <c r="AE28" s="60"/>
    </row>
    <row r="29" spans="2:31" ht="15" x14ac:dyDescent="0.25">
      <c r="C29" s="76"/>
      <c r="D29" s="14" t="s">
        <v>5</v>
      </c>
      <c r="E29" s="2">
        <v>5.23</v>
      </c>
      <c r="F29" s="3">
        <v>0.31</v>
      </c>
      <c r="I29" s="77"/>
      <c r="J29" s="14" t="s">
        <v>6</v>
      </c>
      <c r="K29" s="45">
        <f>EXPLOITATION!K29</f>
        <v>28009.556400000001</v>
      </c>
      <c r="L29" s="21">
        <f>L15</f>
        <v>16815.506400000002</v>
      </c>
      <c r="O29" s="81" t="s">
        <v>3</v>
      </c>
      <c r="P29" s="10" t="s">
        <v>4</v>
      </c>
      <c r="Q29" s="52">
        <f t="shared" si="3"/>
        <v>107.3</v>
      </c>
      <c r="R29" s="52">
        <f t="shared" si="4"/>
        <v>85.84</v>
      </c>
      <c r="S29" s="53">
        <f t="shared" si="5"/>
        <v>1142.5</v>
      </c>
      <c r="T29" s="53">
        <f t="shared" si="6"/>
        <v>987</v>
      </c>
      <c r="U29" s="53">
        <f t="shared" si="7"/>
        <v>2286.6640737500002</v>
      </c>
      <c r="V29" s="53">
        <f t="shared" si="8"/>
        <v>1980.7</v>
      </c>
      <c r="W29" s="60"/>
      <c r="X29" s="60"/>
      <c r="Y29" s="60"/>
      <c r="Z29" s="60"/>
      <c r="AA29" s="60"/>
      <c r="AB29" s="60"/>
      <c r="AC29" s="60"/>
      <c r="AD29" s="60"/>
      <c r="AE29" s="60"/>
    </row>
    <row r="30" spans="2:31" ht="15" x14ac:dyDescent="0.25">
      <c r="C30" s="77"/>
      <c r="D30" s="14" t="s">
        <v>6</v>
      </c>
      <c r="E30" s="2">
        <v>15.32</v>
      </c>
      <c r="F30" s="3">
        <v>15.32</v>
      </c>
      <c r="I30" s="7" t="s">
        <v>16</v>
      </c>
      <c r="J30" s="14" t="s">
        <v>9</v>
      </c>
      <c r="K30" s="45">
        <f>EXPLOITATION!K30</f>
        <v>35939.071600000003</v>
      </c>
      <c r="L30" s="21">
        <f>L16</f>
        <v>35939.071600000003</v>
      </c>
      <c r="O30" s="76"/>
      <c r="P30" s="10" t="s">
        <v>5</v>
      </c>
      <c r="Q30" s="52">
        <f t="shared" si="3"/>
        <v>1.1499999999999999</v>
      </c>
      <c r="R30" s="52">
        <f t="shared" si="4"/>
        <v>0.55000000000000004</v>
      </c>
      <c r="S30" s="53">
        <f t="shared" si="5"/>
        <v>5.23</v>
      </c>
      <c r="T30" s="53">
        <f t="shared" si="6"/>
        <v>0.31</v>
      </c>
      <c r="U30" s="53">
        <f t="shared" si="7"/>
        <v>36.261393333333338</v>
      </c>
      <c r="V30" s="53">
        <f t="shared" si="8"/>
        <v>10.210000000000001</v>
      </c>
      <c r="W30" s="60"/>
      <c r="X30" s="60"/>
      <c r="Y30" s="60"/>
      <c r="Z30" s="60"/>
      <c r="AA30" s="60"/>
      <c r="AB30" s="60"/>
      <c r="AC30" s="60"/>
      <c r="AD30" s="60"/>
      <c r="AE30" s="60"/>
    </row>
    <row r="31" spans="2:31" ht="15" x14ac:dyDescent="0.25">
      <c r="C31" s="7" t="s">
        <v>16</v>
      </c>
      <c r="D31" s="14" t="s">
        <v>9</v>
      </c>
      <c r="E31" s="2">
        <v>41.84</v>
      </c>
      <c r="F31" s="2">
        <v>41.84</v>
      </c>
      <c r="I31" s="78" t="s">
        <v>7</v>
      </c>
      <c r="J31" s="14" t="s">
        <v>12</v>
      </c>
      <c r="K31" s="45">
        <f>EXPLOITATION!K31</f>
        <v>8170.2679517351844</v>
      </c>
      <c r="L31" s="21">
        <f>L17</f>
        <v>8170.2679517351844</v>
      </c>
      <c r="O31" s="77"/>
      <c r="P31" s="10" t="s">
        <v>6</v>
      </c>
      <c r="Q31" s="52">
        <f t="shared" si="3"/>
        <v>13.13</v>
      </c>
      <c r="R31" s="52">
        <f t="shared" si="4"/>
        <v>5.78</v>
      </c>
      <c r="S31" s="53">
        <f t="shared" si="5"/>
        <v>15.32</v>
      </c>
      <c r="T31" s="53">
        <f t="shared" si="6"/>
        <v>15.32</v>
      </c>
      <c r="U31" s="53">
        <f t="shared" si="7"/>
        <v>15.3216</v>
      </c>
      <c r="V31" s="53">
        <f t="shared" si="8"/>
        <v>15.3216</v>
      </c>
      <c r="W31" s="57"/>
      <c r="X31" s="57"/>
      <c r="Y31" s="57"/>
      <c r="Z31" s="57"/>
      <c r="AA31" s="57"/>
      <c r="AB31" s="57"/>
      <c r="AC31" s="57"/>
      <c r="AD31" s="57"/>
      <c r="AE31" s="57"/>
    </row>
    <row r="32" spans="2:31" ht="15" x14ac:dyDescent="0.25">
      <c r="C32" s="78" t="s">
        <v>7</v>
      </c>
      <c r="D32" s="14" t="s">
        <v>12</v>
      </c>
      <c r="E32" s="3">
        <v>8.9700000000000006</v>
      </c>
      <c r="F32" s="3">
        <v>8.9700000000000006</v>
      </c>
      <c r="I32" s="79"/>
      <c r="J32" s="14" t="s">
        <v>8</v>
      </c>
      <c r="K32" s="45">
        <f>EXPLOITATION!K32</f>
        <v>14248.287893000001</v>
      </c>
      <c r="L32" s="21">
        <f>L18</f>
        <v>7137.4199999999992</v>
      </c>
      <c r="O32" s="7" t="s">
        <v>16</v>
      </c>
      <c r="P32" s="10" t="s">
        <v>9</v>
      </c>
      <c r="Q32" s="52">
        <f t="shared" si="3"/>
        <v>0</v>
      </c>
      <c r="R32" s="52">
        <f t="shared" si="4"/>
        <v>0</v>
      </c>
      <c r="S32" s="53">
        <f t="shared" si="5"/>
        <v>41.84</v>
      </c>
      <c r="T32" s="53">
        <f t="shared" si="6"/>
        <v>41.84</v>
      </c>
      <c r="U32" s="53">
        <f t="shared" si="7"/>
        <v>150.80706666666666</v>
      </c>
      <c r="V32" s="53">
        <f t="shared" si="8"/>
        <v>150.80706666666666</v>
      </c>
      <c r="W32" s="57"/>
      <c r="X32" s="57"/>
      <c r="Y32" s="57"/>
      <c r="Z32" s="57"/>
      <c r="AA32" s="57"/>
      <c r="AB32" s="57"/>
      <c r="AC32" s="57"/>
      <c r="AD32" s="57"/>
      <c r="AE32" s="57"/>
    </row>
    <row r="33" spans="3:22" ht="15" x14ac:dyDescent="0.25">
      <c r="C33" s="79"/>
      <c r="D33" s="14" t="s">
        <v>8</v>
      </c>
      <c r="E33" s="3">
        <v>17.52</v>
      </c>
      <c r="F33" s="3">
        <v>8.77</v>
      </c>
      <c r="I33" s="80" t="s">
        <v>10</v>
      </c>
      <c r="J33" s="80"/>
      <c r="K33" s="46">
        <f>SUM(K25:K32)</f>
        <v>160261.18358473518</v>
      </c>
      <c r="L33" s="47">
        <f>SUM(L25:L32)</f>
        <v>88361.611951735176</v>
      </c>
      <c r="M33" s="22">
        <f>(L33-EXPLOITATION!K33)/EXPLOITATION!K33</f>
        <v>-0.44863996399342959</v>
      </c>
      <c r="O33" s="78" t="s">
        <v>7</v>
      </c>
      <c r="P33" s="10" t="s">
        <v>32</v>
      </c>
      <c r="Q33" s="52">
        <f t="shared" si="3"/>
        <v>1.87</v>
      </c>
      <c r="R33" s="52">
        <f t="shared" si="4"/>
        <v>1.87</v>
      </c>
      <c r="S33" s="53">
        <f t="shared" si="5"/>
        <v>8.9700000000000006</v>
      </c>
      <c r="T33" s="53">
        <f t="shared" si="6"/>
        <v>8.9700000000000006</v>
      </c>
      <c r="U33" s="53">
        <f t="shared" si="7"/>
        <v>13.861069393296001</v>
      </c>
      <c r="V33" s="53">
        <f t="shared" si="8"/>
        <v>13.861069393296001</v>
      </c>
    </row>
    <row r="34" spans="3:22" ht="15" x14ac:dyDescent="0.2">
      <c r="C34" s="80" t="s">
        <v>10</v>
      </c>
      <c r="D34" s="80"/>
      <c r="E34" s="27">
        <f>SUM(E25:E33)</f>
        <v>1272.4399999999998</v>
      </c>
      <c r="F34" s="28">
        <f>SUM(F25:F33)</f>
        <v>1071.8579999999999</v>
      </c>
      <c r="G34" s="17">
        <f>(F34-EXPLOITATION!E34)/EXPLOITATION!E34</f>
        <v>-0.1576357234918738</v>
      </c>
      <c r="O34" s="79"/>
      <c r="P34" s="10" t="s">
        <v>8</v>
      </c>
      <c r="Q34" s="52">
        <f t="shared" si="3"/>
        <v>2.23</v>
      </c>
      <c r="R34" s="52">
        <f t="shared" si="4"/>
        <v>1.1200000000000001</v>
      </c>
      <c r="S34" s="53">
        <f t="shared" si="5"/>
        <v>17.52</v>
      </c>
      <c r="T34" s="53">
        <f t="shared" si="6"/>
        <v>8.77</v>
      </c>
      <c r="U34" s="53">
        <f t="shared" si="7"/>
        <v>30.613317000000002</v>
      </c>
      <c r="V34" s="53">
        <f t="shared" si="8"/>
        <v>15.32</v>
      </c>
    </row>
    <row r="35" spans="3:22" x14ac:dyDescent="0.2">
      <c r="G35" s="19"/>
      <c r="O35" s="88" t="s">
        <v>10</v>
      </c>
      <c r="P35" s="88"/>
    </row>
    <row r="37" spans="3:22" x14ac:dyDescent="0.2">
      <c r="C37" s="4" t="s">
        <v>20</v>
      </c>
      <c r="F37" s="5">
        <v>129</v>
      </c>
    </row>
    <row r="38" spans="3:22" x14ac:dyDescent="0.2">
      <c r="C38" s="9"/>
      <c r="D38" s="8"/>
      <c r="E38" s="11" t="s">
        <v>25</v>
      </c>
      <c r="F38" s="11" t="s">
        <v>26</v>
      </c>
    </row>
    <row r="39" spans="3:22" ht="15" x14ac:dyDescent="0.25">
      <c r="C39" s="74" t="s">
        <v>0</v>
      </c>
      <c r="D39" s="10" t="s">
        <v>1</v>
      </c>
      <c r="E39" s="2">
        <v>6.18</v>
      </c>
      <c r="F39" s="3">
        <f>0.8*6.18</f>
        <v>4.944</v>
      </c>
    </row>
    <row r="40" spans="3:22" ht="15" x14ac:dyDescent="0.25">
      <c r="C40" s="75"/>
      <c r="D40" s="10" t="s">
        <v>11</v>
      </c>
      <c r="E40" s="2">
        <v>0</v>
      </c>
      <c r="F40" s="3">
        <v>0</v>
      </c>
    </row>
    <row r="41" spans="3:22" ht="15" x14ac:dyDescent="0.25">
      <c r="C41" s="6" t="s">
        <v>2</v>
      </c>
      <c r="D41" s="14" t="s">
        <v>27</v>
      </c>
      <c r="E41" s="2">
        <v>72.12</v>
      </c>
      <c r="F41" s="3">
        <v>8.77</v>
      </c>
    </row>
    <row r="42" spans="3:22" ht="15" x14ac:dyDescent="0.25">
      <c r="C42" s="81" t="s">
        <v>3</v>
      </c>
      <c r="D42" s="14" t="s">
        <v>4</v>
      </c>
      <c r="E42" s="2">
        <v>2286.6640737500002</v>
      </c>
      <c r="F42" s="3">
        <v>1980.7</v>
      </c>
    </row>
    <row r="43" spans="3:22" ht="15" x14ac:dyDescent="0.25">
      <c r="C43" s="76"/>
      <c r="D43" s="14" t="s">
        <v>5</v>
      </c>
      <c r="E43" s="3">
        <v>36.261393333333338</v>
      </c>
      <c r="F43" s="3">
        <v>10.210000000000001</v>
      </c>
    </row>
    <row r="44" spans="3:22" ht="15" x14ac:dyDescent="0.25">
      <c r="C44" s="77"/>
      <c r="D44" s="14" t="s">
        <v>6</v>
      </c>
      <c r="E44" s="2">
        <v>15.3216</v>
      </c>
      <c r="F44" s="3">
        <v>15.3216</v>
      </c>
    </row>
    <row r="45" spans="3:22" ht="15" x14ac:dyDescent="0.25">
      <c r="C45" s="7" t="s">
        <v>16</v>
      </c>
      <c r="D45" s="14" t="s">
        <v>9</v>
      </c>
      <c r="E45" s="2">
        <v>150.80706666666666</v>
      </c>
      <c r="F45" s="2">
        <v>150.80706666666666</v>
      </c>
    </row>
    <row r="46" spans="3:22" ht="15" x14ac:dyDescent="0.25">
      <c r="C46" s="78" t="s">
        <v>7</v>
      </c>
      <c r="D46" s="14" t="s">
        <v>12</v>
      </c>
      <c r="E46" s="2">
        <v>13.861069393296001</v>
      </c>
      <c r="F46" s="2">
        <v>13.861069393296001</v>
      </c>
    </row>
    <row r="47" spans="3:22" ht="15" x14ac:dyDescent="0.25">
      <c r="C47" s="79"/>
      <c r="D47" s="14" t="s">
        <v>8</v>
      </c>
      <c r="E47" s="2">
        <v>30.613317000000002</v>
      </c>
      <c r="F47" s="2">
        <v>15.32</v>
      </c>
    </row>
    <row r="48" spans="3:22" ht="15" x14ac:dyDescent="0.2">
      <c r="C48" s="80" t="s">
        <v>10</v>
      </c>
      <c r="D48" s="80"/>
      <c r="E48" s="27">
        <f>SUM(E39:E47)</f>
        <v>2611.8285201432964</v>
      </c>
      <c r="F48" s="29">
        <f>SUM(F39:F47)</f>
        <v>2199.9337360599629</v>
      </c>
      <c r="G48" s="17">
        <f>(F48-EXPLOITATION!E48)/EXPLOITATION!E48</f>
        <v>-0.15770360914074677</v>
      </c>
    </row>
    <row r="49" spans="3:12" x14ac:dyDescent="0.2">
      <c r="G49" s="19"/>
    </row>
    <row r="57" spans="3:12" x14ac:dyDescent="0.2">
      <c r="C57" s="31"/>
      <c r="D57" s="31"/>
      <c r="E57" s="31"/>
      <c r="F57" s="32"/>
    </row>
    <row r="58" spans="3:12" x14ac:dyDescent="0.2">
      <c r="C58" s="31"/>
      <c r="D58" s="31"/>
      <c r="E58" s="31"/>
      <c r="F58" s="32"/>
    </row>
    <row r="59" spans="3:12" x14ac:dyDescent="0.2">
      <c r="C59" s="31"/>
      <c r="D59" s="31"/>
      <c r="E59" s="31"/>
      <c r="F59" s="32"/>
      <c r="I59" s="31"/>
      <c r="J59" s="31"/>
      <c r="K59" s="31"/>
      <c r="L59" s="31"/>
    </row>
    <row r="60" spans="3:12" x14ac:dyDescent="0.2">
      <c r="C60" s="31"/>
      <c r="D60" s="31"/>
      <c r="E60" s="31"/>
      <c r="F60" s="32"/>
      <c r="I60" s="31"/>
      <c r="J60" s="31"/>
      <c r="K60" s="31"/>
      <c r="L60" s="31"/>
    </row>
    <row r="61" spans="3:12" x14ac:dyDescent="0.2">
      <c r="C61" s="33"/>
      <c r="D61" s="34"/>
      <c r="E61" s="34"/>
      <c r="F61" s="35"/>
      <c r="G61" s="86"/>
      <c r="H61" s="86"/>
      <c r="I61" s="33"/>
      <c r="J61" s="34"/>
      <c r="K61" s="34"/>
      <c r="L61" s="35"/>
    </row>
    <row r="62" spans="3:12" x14ac:dyDescent="0.2">
      <c r="C62" s="33"/>
      <c r="D62" s="36"/>
      <c r="E62" s="36"/>
      <c r="F62" s="35"/>
      <c r="G62" s="16"/>
      <c r="H62" s="17"/>
      <c r="I62" s="33"/>
      <c r="J62" s="36"/>
      <c r="K62" s="36"/>
      <c r="L62" s="43"/>
    </row>
    <row r="63" spans="3:12" x14ac:dyDescent="0.2">
      <c r="C63" s="33"/>
      <c r="D63" s="36"/>
      <c r="E63" s="36"/>
      <c r="F63" s="35"/>
      <c r="G63" s="16"/>
      <c r="H63" s="17"/>
      <c r="I63" s="33"/>
      <c r="J63" s="36"/>
      <c r="K63" s="36"/>
      <c r="L63" s="43"/>
    </row>
    <row r="64" spans="3:12" x14ac:dyDescent="0.2">
      <c r="C64" s="37"/>
      <c r="D64" s="36"/>
      <c r="E64" s="36"/>
      <c r="F64" s="35"/>
      <c r="G64" s="18"/>
      <c r="H64" s="17"/>
      <c r="I64" s="37"/>
      <c r="J64" s="36"/>
      <c r="K64" s="36"/>
      <c r="L64" s="43"/>
    </row>
    <row r="65" spans="3:12" x14ac:dyDescent="0.2">
      <c r="C65" s="41"/>
      <c r="D65" s="36"/>
      <c r="E65" s="36"/>
      <c r="F65" s="35"/>
      <c r="G65" s="16"/>
      <c r="H65" s="17"/>
      <c r="I65" s="41"/>
      <c r="J65" s="36"/>
      <c r="K65" s="36"/>
      <c r="L65" s="43"/>
    </row>
    <row r="66" spans="3:12" x14ac:dyDescent="0.2">
      <c r="C66" s="41"/>
      <c r="D66" s="36"/>
      <c r="E66" s="36"/>
      <c r="F66" s="35"/>
      <c r="G66" s="16"/>
      <c r="H66" s="17"/>
      <c r="I66" s="41"/>
      <c r="J66" s="36"/>
      <c r="K66" s="36"/>
      <c r="L66" s="43"/>
    </row>
    <row r="67" spans="3:12" x14ac:dyDescent="0.2">
      <c r="C67" s="41"/>
      <c r="D67" s="36"/>
      <c r="E67" s="36"/>
      <c r="F67" s="35"/>
      <c r="G67" s="16"/>
      <c r="H67" s="17"/>
      <c r="I67" s="41"/>
      <c r="J67" s="36"/>
      <c r="K67" s="36"/>
      <c r="L67" s="43"/>
    </row>
    <row r="68" spans="3:12" x14ac:dyDescent="0.2">
      <c r="C68" s="37"/>
      <c r="D68" s="36"/>
      <c r="E68" s="36"/>
      <c r="F68" s="35"/>
      <c r="G68" s="16"/>
      <c r="H68" s="17"/>
      <c r="I68" s="37"/>
      <c r="J68" s="36"/>
      <c r="K68" s="36"/>
      <c r="L68" s="43"/>
    </row>
    <row r="69" spans="3:12" x14ac:dyDescent="0.2">
      <c r="C69" s="41"/>
      <c r="D69" s="36"/>
      <c r="E69" s="36"/>
      <c r="F69" s="35"/>
      <c r="G69" s="18"/>
      <c r="H69" s="17"/>
      <c r="I69" s="41"/>
      <c r="J69" s="36"/>
      <c r="K69" s="36"/>
      <c r="L69" s="43"/>
    </row>
    <row r="70" spans="3:12" x14ac:dyDescent="0.2">
      <c r="C70" s="41"/>
      <c r="D70" s="36"/>
      <c r="E70" s="36"/>
      <c r="F70" s="35"/>
      <c r="G70" s="18"/>
      <c r="H70" s="17"/>
      <c r="I70" s="41"/>
      <c r="J70" s="36"/>
      <c r="K70" s="36"/>
      <c r="L70" s="43"/>
    </row>
    <row r="71" spans="3:12" ht="15" x14ac:dyDescent="0.2">
      <c r="C71" s="39"/>
      <c r="D71" s="39"/>
      <c r="E71" s="38"/>
      <c r="F71" s="40"/>
      <c r="G71" s="16"/>
      <c r="H71" s="19"/>
      <c r="I71" s="39"/>
      <c r="J71" s="39"/>
      <c r="K71" s="38"/>
      <c r="L71" s="44"/>
    </row>
    <row r="72" spans="3:12" x14ac:dyDescent="0.2">
      <c r="C72" s="34"/>
      <c r="D72" s="34"/>
      <c r="E72" s="34"/>
      <c r="F72" s="35"/>
      <c r="G72" s="19"/>
      <c r="H72" s="19"/>
      <c r="I72" s="32"/>
      <c r="J72" s="32"/>
      <c r="K72" s="32"/>
      <c r="L72" s="31"/>
    </row>
    <row r="73" spans="3:12" x14ac:dyDescent="0.2">
      <c r="C73" s="31"/>
      <c r="D73" s="31"/>
      <c r="E73" s="31"/>
      <c r="F73" s="32"/>
      <c r="I73" s="31"/>
      <c r="J73" s="31"/>
      <c r="K73" s="31"/>
      <c r="L73" s="31"/>
    </row>
    <row r="74" spans="3:12" x14ac:dyDescent="0.2">
      <c r="C74" s="31"/>
      <c r="D74" s="31"/>
      <c r="E74" s="31"/>
      <c r="F74" s="32"/>
      <c r="I74" s="31"/>
      <c r="J74" s="31"/>
      <c r="K74" s="31"/>
      <c r="L74" s="31"/>
    </row>
    <row r="75" spans="3:12" x14ac:dyDescent="0.2">
      <c r="C75" s="31"/>
      <c r="D75" s="31"/>
      <c r="E75" s="31"/>
      <c r="F75" s="32"/>
      <c r="I75" s="31"/>
      <c r="J75" s="31"/>
      <c r="K75" s="31"/>
      <c r="L75" s="31"/>
    </row>
    <row r="76" spans="3:12" x14ac:dyDescent="0.2">
      <c r="C76" s="33"/>
      <c r="D76" s="34"/>
      <c r="E76" s="34"/>
      <c r="F76" s="35"/>
      <c r="I76" s="33"/>
      <c r="J76" s="34"/>
      <c r="K76" s="34"/>
      <c r="L76" s="35"/>
    </row>
    <row r="77" spans="3:12" ht="15" x14ac:dyDescent="0.25">
      <c r="C77" s="33"/>
      <c r="D77" s="36"/>
      <c r="E77" s="36"/>
      <c r="F77" s="30"/>
      <c r="I77" s="33"/>
      <c r="J77" s="36"/>
      <c r="K77" s="36"/>
      <c r="L77" s="43"/>
    </row>
    <row r="78" spans="3:12" ht="15" x14ac:dyDescent="0.25">
      <c r="C78" s="33"/>
      <c r="D78" s="36"/>
      <c r="E78" s="36"/>
      <c r="F78" s="30"/>
      <c r="I78" s="33"/>
      <c r="J78" s="36"/>
      <c r="K78" s="36"/>
      <c r="L78" s="43"/>
    </row>
    <row r="79" spans="3:12" ht="15" x14ac:dyDescent="0.25">
      <c r="C79" s="37"/>
      <c r="D79" s="36"/>
      <c r="E79" s="36"/>
      <c r="F79" s="30"/>
      <c r="I79" s="37"/>
      <c r="J79" s="36"/>
      <c r="K79" s="36"/>
      <c r="L79" s="43"/>
    </row>
    <row r="80" spans="3:12" ht="15" x14ac:dyDescent="0.25">
      <c r="C80" s="41"/>
      <c r="D80" s="36"/>
      <c r="E80" s="36"/>
      <c r="F80" s="30"/>
      <c r="I80" s="41"/>
      <c r="J80" s="36"/>
      <c r="K80" s="36"/>
      <c r="L80" s="43"/>
    </row>
    <row r="81" spans="3:12" ht="15" x14ac:dyDescent="0.25">
      <c r="C81" s="41"/>
      <c r="D81" s="36"/>
      <c r="E81" s="36"/>
      <c r="F81" s="30"/>
      <c r="I81" s="41"/>
      <c r="J81" s="36"/>
      <c r="K81" s="36"/>
      <c r="L81" s="43"/>
    </row>
    <row r="82" spans="3:12" ht="15" x14ac:dyDescent="0.25">
      <c r="C82" s="41"/>
      <c r="D82" s="36"/>
      <c r="E82" s="36"/>
      <c r="F82" s="30"/>
      <c r="I82" s="37"/>
      <c r="J82" s="36"/>
      <c r="K82" s="36"/>
      <c r="L82" s="43"/>
    </row>
    <row r="83" spans="3:12" ht="15" x14ac:dyDescent="0.25">
      <c r="C83" s="37"/>
      <c r="D83" s="36"/>
      <c r="E83" s="36"/>
      <c r="F83" s="30"/>
      <c r="I83" s="41"/>
      <c r="J83" s="36"/>
      <c r="K83" s="36"/>
      <c r="L83" s="43"/>
    </row>
    <row r="84" spans="3:12" ht="15" x14ac:dyDescent="0.25">
      <c r="C84" s="41"/>
      <c r="D84" s="36"/>
      <c r="E84" s="36"/>
      <c r="F84" s="30"/>
      <c r="I84" s="41"/>
      <c r="J84" s="36"/>
      <c r="K84" s="36"/>
      <c r="L84" s="43"/>
    </row>
    <row r="85" spans="3:12" ht="15" x14ac:dyDescent="0.25">
      <c r="C85" s="41"/>
      <c r="D85" s="36"/>
      <c r="E85" s="36"/>
      <c r="F85" s="30"/>
      <c r="I85" s="39"/>
      <c r="J85" s="39"/>
      <c r="K85" s="38"/>
      <c r="L85" s="44"/>
    </row>
    <row r="86" spans="3:12" ht="15" x14ac:dyDescent="0.2">
      <c r="C86" s="39"/>
      <c r="D86" s="39"/>
      <c r="E86" s="38"/>
      <c r="F86" s="40"/>
      <c r="I86" s="31"/>
      <c r="J86" s="31"/>
      <c r="K86" s="31"/>
      <c r="L86" s="31"/>
    </row>
    <row r="87" spans="3:12" x14ac:dyDescent="0.2">
      <c r="C87" s="31"/>
      <c r="D87" s="31"/>
      <c r="E87" s="31"/>
      <c r="F87" s="32"/>
      <c r="I87" s="31"/>
      <c r="J87" s="31"/>
      <c r="K87" s="31"/>
      <c r="L87" s="31"/>
    </row>
    <row r="88" spans="3:12" x14ac:dyDescent="0.2">
      <c r="C88" s="31"/>
      <c r="D88" s="31"/>
      <c r="E88" s="31"/>
      <c r="F88" s="32"/>
      <c r="I88" s="31"/>
      <c r="J88" s="31"/>
      <c r="K88" s="31"/>
      <c r="L88" s="31"/>
    </row>
    <row r="89" spans="3:12" x14ac:dyDescent="0.2">
      <c r="C89" s="31"/>
      <c r="D89" s="31"/>
      <c r="E89" s="31"/>
      <c r="F89" s="32"/>
      <c r="I89" s="31"/>
      <c r="J89" s="31"/>
      <c r="K89" s="31"/>
      <c r="L89" s="31"/>
    </row>
    <row r="90" spans="3:12" x14ac:dyDescent="0.2">
      <c r="C90" s="33"/>
      <c r="D90" s="34"/>
      <c r="E90" s="34"/>
      <c r="F90" s="35"/>
      <c r="I90" s="31"/>
      <c r="J90" s="31"/>
      <c r="K90" s="31"/>
      <c r="L90" s="31"/>
    </row>
    <row r="91" spans="3:12" ht="15" x14ac:dyDescent="0.25">
      <c r="C91" s="33"/>
      <c r="D91" s="36"/>
      <c r="E91" s="36"/>
      <c r="F91" s="30"/>
      <c r="I91" s="31"/>
      <c r="J91" s="31"/>
      <c r="K91" s="31"/>
      <c r="L91" s="31"/>
    </row>
    <row r="92" spans="3:12" ht="15" x14ac:dyDescent="0.25">
      <c r="C92" s="33"/>
      <c r="D92" s="36"/>
      <c r="E92" s="36"/>
      <c r="F92" s="30"/>
    </row>
    <row r="93" spans="3:12" ht="15" x14ac:dyDescent="0.25">
      <c r="C93" s="37"/>
      <c r="D93" s="36"/>
      <c r="E93" s="36"/>
      <c r="F93" s="30"/>
    </row>
    <row r="94" spans="3:12" ht="15" x14ac:dyDescent="0.25">
      <c r="C94" s="41"/>
      <c r="D94" s="36"/>
      <c r="E94" s="36"/>
      <c r="F94" s="30"/>
    </row>
    <row r="95" spans="3:12" ht="15" x14ac:dyDescent="0.25">
      <c r="C95" s="41"/>
      <c r="D95" s="36"/>
      <c r="E95" s="36"/>
      <c r="F95" s="30"/>
    </row>
    <row r="96" spans="3:12" ht="15" x14ac:dyDescent="0.25">
      <c r="C96" s="41"/>
      <c r="D96" s="36"/>
      <c r="E96" s="36"/>
      <c r="F96" s="30"/>
    </row>
    <row r="97" spans="3:6" ht="15" x14ac:dyDescent="0.25">
      <c r="C97" s="37"/>
      <c r="D97" s="36"/>
      <c r="E97" s="36"/>
      <c r="F97" s="30"/>
    </row>
    <row r="98" spans="3:6" ht="15" x14ac:dyDescent="0.25">
      <c r="C98" s="41"/>
      <c r="D98" s="36"/>
      <c r="E98" s="36"/>
      <c r="F98" s="30"/>
    </row>
    <row r="99" spans="3:6" ht="15" x14ac:dyDescent="0.25">
      <c r="C99" s="41"/>
      <c r="D99" s="36"/>
      <c r="E99" s="36"/>
      <c r="F99" s="30"/>
    </row>
    <row r="100" spans="3:6" ht="15" x14ac:dyDescent="0.2">
      <c r="C100" s="39"/>
      <c r="D100" s="39"/>
      <c r="E100" s="38"/>
      <c r="F100" s="42"/>
    </row>
    <row r="101" spans="3:6" x14ac:dyDescent="0.2">
      <c r="C101" s="31"/>
      <c r="D101" s="31"/>
      <c r="E101" s="31"/>
      <c r="F101" s="32"/>
    </row>
    <row r="102" spans="3:6" x14ac:dyDescent="0.2">
      <c r="C102" s="31"/>
      <c r="D102" s="31"/>
      <c r="E102" s="31"/>
      <c r="F102" s="32"/>
    </row>
    <row r="103" spans="3:6" x14ac:dyDescent="0.2">
      <c r="C103" s="31"/>
      <c r="D103" s="31"/>
      <c r="E103" s="31"/>
      <c r="F103" s="32"/>
    </row>
    <row r="104" spans="3:6" x14ac:dyDescent="0.2">
      <c r="C104" s="31"/>
      <c r="D104" s="31"/>
      <c r="E104" s="31"/>
      <c r="F104" s="32"/>
    </row>
    <row r="105" spans="3:6" x14ac:dyDescent="0.2">
      <c r="C105" s="31"/>
      <c r="D105" s="31"/>
      <c r="E105" s="31"/>
      <c r="F105" s="32"/>
    </row>
    <row r="106" spans="3:6" x14ac:dyDescent="0.2">
      <c r="C106" s="31"/>
      <c r="D106" s="31"/>
      <c r="E106" s="31"/>
      <c r="F106" s="32"/>
    </row>
    <row r="107" spans="3:6" x14ac:dyDescent="0.2">
      <c r="C107" s="31"/>
      <c r="D107" s="31"/>
      <c r="E107" s="31"/>
      <c r="F107" s="32"/>
    </row>
    <row r="108" spans="3:6" x14ac:dyDescent="0.2">
      <c r="C108" s="31"/>
      <c r="D108" s="31"/>
      <c r="E108" s="31"/>
      <c r="F108" s="32"/>
    </row>
  </sheetData>
  <mergeCells count="32">
    <mergeCell ref="U24:V24"/>
    <mergeCell ref="O35:P35"/>
    <mergeCell ref="O26:O27"/>
    <mergeCell ref="O29:O31"/>
    <mergeCell ref="O33:O34"/>
    <mergeCell ref="Q24:R24"/>
    <mergeCell ref="S24:T24"/>
    <mergeCell ref="C25:C26"/>
    <mergeCell ref="I25:I26"/>
    <mergeCell ref="G9:H9"/>
    <mergeCell ref="C10:C11"/>
    <mergeCell ref="I10:I11"/>
    <mergeCell ref="C13:C15"/>
    <mergeCell ref="I13:I15"/>
    <mergeCell ref="C17:C18"/>
    <mergeCell ref="I17:I18"/>
    <mergeCell ref="O10:O11"/>
    <mergeCell ref="O13:O15"/>
    <mergeCell ref="O17:O18"/>
    <mergeCell ref="G61:H61"/>
    <mergeCell ref="C34:D34"/>
    <mergeCell ref="C39:C40"/>
    <mergeCell ref="C42:C44"/>
    <mergeCell ref="C46:C47"/>
    <mergeCell ref="C48:D48"/>
    <mergeCell ref="C28:C30"/>
    <mergeCell ref="I28:I29"/>
    <mergeCell ref="I31:I32"/>
    <mergeCell ref="C32:C33"/>
    <mergeCell ref="I33:J33"/>
    <mergeCell ref="C19:D19"/>
    <mergeCell ref="I19:J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B2:AE108"/>
  <sheetViews>
    <sheetView zoomScaleNormal="100" workbookViewId="0"/>
  </sheetViews>
  <sheetFormatPr baseColWidth="10" defaultColWidth="11.5703125" defaultRowHeight="12.75" x14ac:dyDescent="0.2"/>
  <cols>
    <col min="1" max="2" width="11.5703125" style="4"/>
    <col min="3" max="3" width="16.5703125" style="4" customWidth="1"/>
    <col min="4" max="4" width="42.7109375" style="4" customWidth="1"/>
    <col min="5" max="5" width="9" style="4" bestFit="1" customWidth="1"/>
    <col min="6" max="6" width="12.42578125" style="5" bestFit="1" customWidth="1"/>
    <col min="7" max="8" width="11.5703125" style="4"/>
    <col min="9" max="9" width="16.28515625" style="4" customWidth="1"/>
    <col min="10" max="10" width="42.42578125" style="4" customWidth="1"/>
    <col min="11" max="12" width="12.42578125" style="4" bestFit="1" customWidth="1"/>
    <col min="13" max="14" width="11.5703125" style="4"/>
    <col min="15" max="15" width="15.7109375" style="4" customWidth="1"/>
    <col min="16" max="16" width="44.7109375" style="4" customWidth="1"/>
    <col min="17" max="17" width="8.7109375" style="4" bestFit="1" customWidth="1"/>
    <col min="18" max="18" width="6.28515625" style="4" bestFit="1" customWidth="1"/>
    <col min="19" max="19" width="7.5703125" style="4" bestFit="1" customWidth="1"/>
    <col min="20" max="20" width="11.5703125" style="4"/>
    <col min="21" max="21" width="10.7109375" style="4" customWidth="1"/>
    <col min="22" max="22" width="7.5703125" style="4" bestFit="1" customWidth="1"/>
    <col min="23" max="16384" width="11.5703125" style="4"/>
  </cols>
  <sheetData>
    <row r="2" spans="2:18" ht="20.25" x14ac:dyDescent="0.3">
      <c r="B2" s="56" t="s">
        <v>47</v>
      </c>
    </row>
    <row r="7" spans="2:18" x14ac:dyDescent="0.2">
      <c r="C7" s="4" t="s">
        <v>14</v>
      </c>
      <c r="F7" s="5">
        <v>1523</v>
      </c>
    </row>
    <row r="8" spans="2:18" x14ac:dyDescent="0.2">
      <c r="I8" s="4" t="s">
        <v>21</v>
      </c>
      <c r="P8" s="4" t="s">
        <v>28</v>
      </c>
    </row>
    <row r="9" spans="2:18" x14ac:dyDescent="0.2">
      <c r="B9" s="8"/>
      <c r="C9" s="9"/>
      <c r="D9" s="8"/>
      <c r="E9" s="11" t="s">
        <v>25</v>
      </c>
      <c r="F9" s="11" t="s">
        <v>26</v>
      </c>
      <c r="G9" s="86"/>
      <c r="H9" s="86"/>
      <c r="I9" s="9"/>
      <c r="J9" s="8"/>
      <c r="K9" s="11" t="s">
        <v>25</v>
      </c>
      <c r="L9" s="11" t="s">
        <v>26</v>
      </c>
    </row>
    <row r="10" spans="2:18" ht="13.15" customHeight="1" x14ac:dyDescent="0.2">
      <c r="B10" s="8"/>
      <c r="C10" s="74" t="s">
        <v>0</v>
      </c>
      <c r="D10" s="10" t="s">
        <v>1</v>
      </c>
      <c r="E10" s="11">
        <v>5.26</v>
      </c>
      <c r="F10" s="62">
        <f>0.8*9.97</f>
        <v>7.9760000000000009</v>
      </c>
      <c r="G10" s="16"/>
      <c r="H10" s="17"/>
      <c r="I10" s="74" t="s">
        <v>0</v>
      </c>
      <c r="J10" s="10" t="s">
        <v>1</v>
      </c>
      <c r="K10" s="45">
        <f>EXPLOITATION!K10</f>
        <v>11511.039999999999</v>
      </c>
      <c r="L10" s="21">
        <f t="shared" ref="L10:L18" si="0">F10*$F$7+F25*$F$23+F39*$F$37</f>
        <v>14947.496000000003</v>
      </c>
      <c r="O10" s="74" t="s">
        <v>0</v>
      </c>
      <c r="P10" s="10" t="s">
        <v>1</v>
      </c>
      <c r="Q10" s="49">
        <f>L10-K10</f>
        <v>3436.4560000000038</v>
      </c>
      <c r="R10" s="48">
        <f>(L10-K10)/K10</f>
        <v>0.29853566662960113</v>
      </c>
    </row>
    <row r="11" spans="2:18" ht="13.15" customHeight="1" x14ac:dyDescent="0.2">
      <c r="B11" s="8"/>
      <c r="C11" s="75"/>
      <c r="D11" s="10" t="s">
        <v>11</v>
      </c>
      <c r="E11" s="11">
        <v>18.75</v>
      </c>
      <c r="F11" s="62">
        <v>0</v>
      </c>
      <c r="G11" s="16"/>
      <c r="H11" s="17"/>
      <c r="I11" s="75"/>
      <c r="J11" s="10" t="s">
        <v>11</v>
      </c>
      <c r="K11" s="45">
        <f>EXPLOITATION!K11</f>
        <v>28556.25</v>
      </c>
      <c r="L11" s="21">
        <f t="shared" si="0"/>
        <v>0</v>
      </c>
      <c r="O11" s="75"/>
      <c r="P11" s="10" t="s">
        <v>11</v>
      </c>
      <c r="Q11" s="49">
        <f t="shared" ref="Q11:Q19" si="1">L11-K11</f>
        <v>-28556.25</v>
      </c>
      <c r="R11" s="48">
        <f t="shared" ref="R11:R18" si="2">(L11-K11)/K11</f>
        <v>-1</v>
      </c>
    </row>
    <row r="12" spans="2:18" x14ac:dyDescent="0.2">
      <c r="B12" s="8"/>
      <c r="C12" s="6" t="s">
        <v>2</v>
      </c>
      <c r="D12" s="14" t="s">
        <v>27</v>
      </c>
      <c r="E12" s="11">
        <v>1.68</v>
      </c>
      <c r="F12" s="62">
        <v>0.2</v>
      </c>
      <c r="G12" s="18"/>
      <c r="H12" s="17"/>
      <c r="I12" s="6" t="s">
        <v>2</v>
      </c>
      <c r="J12" s="14" t="s">
        <v>27</v>
      </c>
      <c r="K12" s="45">
        <f>EXPLOITATION!K12</f>
        <v>25336.920000000002</v>
      </c>
      <c r="L12" s="21">
        <f t="shared" si="0"/>
        <v>3074.97</v>
      </c>
      <c r="O12" s="6" t="s">
        <v>2</v>
      </c>
      <c r="P12" s="14" t="s">
        <v>27</v>
      </c>
      <c r="Q12" s="49">
        <f t="shared" si="1"/>
        <v>-22261.95</v>
      </c>
      <c r="R12" s="48">
        <f t="shared" si="2"/>
        <v>-0.878636787738999</v>
      </c>
    </row>
    <row r="13" spans="2:18" ht="13.15" customHeight="1" x14ac:dyDescent="0.2">
      <c r="B13" s="8"/>
      <c r="C13" s="81" t="s">
        <v>3</v>
      </c>
      <c r="D13" s="14" t="s">
        <v>4</v>
      </c>
      <c r="E13" s="11">
        <v>107.3</v>
      </c>
      <c r="F13" s="62">
        <v>1.1200000000000001</v>
      </c>
      <c r="G13" s="16"/>
      <c r="H13" s="17"/>
      <c r="I13" s="81" t="s">
        <v>3</v>
      </c>
      <c r="J13" s="14" t="s">
        <v>4</v>
      </c>
      <c r="K13" s="45">
        <f>EXPLOITATION!K13</f>
        <v>908542.56551375007</v>
      </c>
      <c r="L13" s="21">
        <f t="shared" si="0"/>
        <v>9722.89</v>
      </c>
      <c r="O13" s="81" t="s">
        <v>3</v>
      </c>
      <c r="P13" s="14" t="s">
        <v>4</v>
      </c>
      <c r="Q13" s="49">
        <f t="shared" si="1"/>
        <v>-898819.67551375006</v>
      </c>
      <c r="R13" s="48">
        <f t="shared" si="2"/>
        <v>-0.98929836601051047</v>
      </c>
    </row>
    <row r="14" spans="2:18" ht="13.15" customHeight="1" x14ac:dyDescent="0.2">
      <c r="B14" s="8"/>
      <c r="C14" s="76"/>
      <c r="D14" s="14" t="s">
        <v>5</v>
      </c>
      <c r="E14" s="11">
        <v>1.1499999999999999</v>
      </c>
      <c r="F14" s="62">
        <v>0.01</v>
      </c>
      <c r="G14" s="16"/>
      <c r="H14" s="17"/>
      <c r="I14" s="76"/>
      <c r="J14" s="14" t="s">
        <v>5</v>
      </c>
      <c r="K14" s="45">
        <f>EXPLOITATION!K14</f>
        <v>8489.7897400000002</v>
      </c>
      <c r="L14" s="21">
        <f t="shared" si="0"/>
        <v>41.17</v>
      </c>
      <c r="O14" s="76"/>
      <c r="P14" s="14" t="s">
        <v>5</v>
      </c>
      <c r="Q14" s="49">
        <f t="shared" si="1"/>
        <v>-8448.6197400000001</v>
      </c>
      <c r="R14" s="48">
        <f t="shared" si="2"/>
        <v>-0.99515064550939047</v>
      </c>
    </row>
    <row r="15" spans="2:18" ht="13.15" customHeight="1" x14ac:dyDescent="0.2">
      <c r="B15" s="8"/>
      <c r="C15" s="77"/>
      <c r="D15" s="14" t="s">
        <v>6</v>
      </c>
      <c r="E15" s="11">
        <v>13.13</v>
      </c>
      <c r="F15" s="62">
        <v>0.14000000000000001</v>
      </c>
      <c r="G15" s="16"/>
      <c r="H15" s="17"/>
      <c r="I15" s="77"/>
      <c r="J15" s="14" t="s">
        <v>6</v>
      </c>
      <c r="K15" s="45">
        <f>EXPLOITATION!K15</f>
        <v>28009.556400000001</v>
      </c>
      <c r="L15" s="21">
        <f t="shared" si="0"/>
        <v>296.90000000000003</v>
      </c>
      <c r="O15" s="77"/>
      <c r="P15" s="14" t="s">
        <v>6</v>
      </c>
      <c r="Q15" s="49">
        <f t="shared" si="1"/>
        <v>-27712.6564</v>
      </c>
      <c r="R15" s="48">
        <f t="shared" si="2"/>
        <v>-0.98940004633561418</v>
      </c>
    </row>
    <row r="16" spans="2:18" x14ac:dyDescent="0.2">
      <c r="B16" s="8"/>
      <c r="C16" s="7" t="s">
        <v>16</v>
      </c>
      <c r="D16" s="14" t="s">
        <v>9</v>
      </c>
      <c r="E16" s="11">
        <v>0</v>
      </c>
      <c r="F16" s="62">
        <v>0</v>
      </c>
      <c r="G16" s="16"/>
      <c r="H16" s="17"/>
      <c r="I16" s="7" t="s">
        <v>16</v>
      </c>
      <c r="J16" s="14" t="s">
        <v>9</v>
      </c>
      <c r="K16" s="45">
        <f>EXPLOITATION!K16</f>
        <v>35939.071600000003</v>
      </c>
      <c r="L16" s="21">
        <f t="shared" si="0"/>
        <v>35939.071600000003</v>
      </c>
      <c r="O16" s="7" t="s">
        <v>16</v>
      </c>
      <c r="P16" s="14" t="s">
        <v>9</v>
      </c>
      <c r="Q16" s="49">
        <f t="shared" si="1"/>
        <v>0</v>
      </c>
      <c r="R16" s="48">
        <f t="shared" si="2"/>
        <v>0</v>
      </c>
    </row>
    <row r="17" spans="2:31" x14ac:dyDescent="0.2">
      <c r="B17" s="8"/>
      <c r="C17" s="78" t="s">
        <v>7</v>
      </c>
      <c r="D17" s="14" t="s">
        <v>12</v>
      </c>
      <c r="E17" s="11">
        <v>1.87</v>
      </c>
      <c r="F17" s="62">
        <v>1.87</v>
      </c>
      <c r="G17" s="18"/>
      <c r="H17" s="17"/>
      <c r="I17" s="78" t="s">
        <v>7</v>
      </c>
      <c r="J17" s="14" t="s">
        <v>12</v>
      </c>
      <c r="K17" s="45">
        <f>EXPLOITATION!K17</f>
        <v>8170.2679517351844</v>
      </c>
      <c r="L17" s="21">
        <f t="shared" si="0"/>
        <v>8170.2679517351844</v>
      </c>
      <c r="O17" s="78" t="s">
        <v>7</v>
      </c>
      <c r="P17" s="14" t="s">
        <v>12</v>
      </c>
      <c r="Q17" s="49">
        <f t="shared" si="1"/>
        <v>0</v>
      </c>
      <c r="R17" s="48">
        <f t="shared" si="2"/>
        <v>0</v>
      </c>
    </row>
    <row r="18" spans="2:31" ht="13.15" customHeight="1" x14ac:dyDescent="0.2">
      <c r="B18" s="8"/>
      <c r="C18" s="79"/>
      <c r="D18" s="14" t="s">
        <v>8</v>
      </c>
      <c r="E18" s="11">
        <v>2.23</v>
      </c>
      <c r="F18" s="62">
        <v>1.1200000000000001</v>
      </c>
      <c r="G18" s="18"/>
      <c r="H18" s="17"/>
      <c r="I18" s="79"/>
      <c r="J18" s="14" t="s">
        <v>8</v>
      </c>
      <c r="K18" s="45">
        <f>EXPLOITATION!K18</f>
        <v>14248.287893000001</v>
      </c>
      <c r="L18" s="21">
        <f t="shared" si="0"/>
        <v>7137.4199999999992</v>
      </c>
      <c r="O18" s="79"/>
      <c r="P18" s="14" t="s">
        <v>8</v>
      </c>
      <c r="Q18" s="49">
        <f t="shared" si="1"/>
        <v>-7110.8678930000015</v>
      </c>
      <c r="R18" s="48">
        <f t="shared" si="2"/>
        <v>-0.49906823517325749</v>
      </c>
    </row>
    <row r="19" spans="2:31" ht="15" x14ac:dyDescent="0.2">
      <c r="B19" s="8"/>
      <c r="C19" s="80" t="s">
        <v>10</v>
      </c>
      <c r="D19" s="80"/>
      <c r="E19" s="26">
        <f>SUM(E10:E18)</f>
        <v>151.37</v>
      </c>
      <c r="F19" s="28">
        <f>SUM(F10:F18)</f>
        <v>12.436</v>
      </c>
      <c r="G19" s="17">
        <f>(F19-EXPLOITATION!E19)/EXPLOITATION!E19</f>
        <v>-0.91784369425910017</v>
      </c>
      <c r="H19" s="19"/>
      <c r="I19" s="80" t="s">
        <v>10</v>
      </c>
      <c r="J19" s="80"/>
      <c r="K19" s="46">
        <f>SUM(K10:K18)</f>
        <v>1068803.7490984853</v>
      </c>
      <c r="L19" s="47">
        <f>SUM(L10:L18)</f>
        <v>79330.18555173518</v>
      </c>
      <c r="M19" s="22">
        <f>(L19-EXPLOITATION!K19)/EXPLOITATION!K19</f>
        <v>-0.92577665860673797</v>
      </c>
      <c r="Q19" s="49">
        <f t="shared" si="1"/>
        <v>-989473.56354675011</v>
      </c>
    </row>
    <row r="20" spans="2:31" x14ac:dyDescent="0.2">
      <c r="B20" s="8"/>
      <c r="C20" s="8"/>
      <c r="D20" s="8"/>
      <c r="E20" s="8"/>
      <c r="F20" s="15"/>
      <c r="G20" s="19"/>
      <c r="H20" s="19"/>
      <c r="I20" s="20"/>
      <c r="J20" s="20"/>
      <c r="K20" s="20"/>
    </row>
    <row r="23" spans="2:31" x14ac:dyDescent="0.2">
      <c r="C23" s="4" t="s">
        <v>19</v>
      </c>
      <c r="F23" s="5">
        <v>394</v>
      </c>
      <c r="I23" s="4" t="s">
        <v>22</v>
      </c>
    </row>
    <row r="24" spans="2:31" x14ac:dyDescent="0.2">
      <c r="C24" s="9"/>
      <c r="D24" s="8"/>
      <c r="E24" s="11" t="s">
        <v>25</v>
      </c>
      <c r="F24" s="11" t="s">
        <v>26</v>
      </c>
      <c r="I24" s="9"/>
      <c r="J24" s="8"/>
      <c r="K24" s="8"/>
      <c r="L24" s="11" t="s">
        <v>17</v>
      </c>
      <c r="Q24" s="87" t="s">
        <v>29</v>
      </c>
      <c r="R24" s="87"/>
      <c r="S24" s="87" t="s">
        <v>30</v>
      </c>
      <c r="T24" s="87"/>
      <c r="U24" s="87" t="s">
        <v>31</v>
      </c>
      <c r="V24" s="87"/>
      <c r="W24" s="59"/>
      <c r="X24" s="59"/>
      <c r="Y24" s="59"/>
      <c r="Z24" s="59"/>
      <c r="AA24" s="59"/>
      <c r="AB24" s="59"/>
      <c r="AC24" s="59"/>
      <c r="AD24" s="59"/>
      <c r="AE24" s="59"/>
    </row>
    <row r="25" spans="2:31" ht="15" x14ac:dyDescent="0.25">
      <c r="C25" s="74" t="s">
        <v>0</v>
      </c>
      <c r="D25" s="10" t="s">
        <v>1</v>
      </c>
      <c r="E25" s="2">
        <v>6.86</v>
      </c>
      <c r="F25" s="3">
        <f>0.8*6.86</f>
        <v>5.4880000000000004</v>
      </c>
      <c r="I25" s="74" t="s">
        <v>0</v>
      </c>
      <c r="J25" s="10" t="s">
        <v>1</v>
      </c>
      <c r="K25" s="45">
        <f>EXPLOITATION!K25</f>
        <v>11511.039999999999</v>
      </c>
      <c r="L25" s="21">
        <f>L10</f>
        <v>14947.496000000003</v>
      </c>
      <c r="Q25" s="55">
        <v>2020</v>
      </c>
      <c r="R25" s="55">
        <v>2030</v>
      </c>
      <c r="S25" s="55">
        <v>2020</v>
      </c>
      <c r="T25" s="55">
        <v>2030</v>
      </c>
      <c r="U25" s="55">
        <v>2020</v>
      </c>
      <c r="V25" s="55">
        <v>2030</v>
      </c>
      <c r="W25" s="58"/>
      <c r="X25" s="58"/>
      <c r="Y25" s="58"/>
      <c r="Z25" s="58"/>
      <c r="AA25" s="58"/>
      <c r="AB25" s="58"/>
      <c r="AC25" s="58"/>
      <c r="AD25" s="58"/>
      <c r="AE25" s="58"/>
    </row>
    <row r="26" spans="2:31" ht="15" x14ac:dyDescent="0.25">
      <c r="C26" s="75"/>
      <c r="D26" s="10" t="s">
        <v>11</v>
      </c>
      <c r="E26" s="2">
        <v>0</v>
      </c>
      <c r="F26" s="3">
        <v>0</v>
      </c>
      <c r="I26" s="75"/>
      <c r="J26" s="10" t="s">
        <v>11</v>
      </c>
      <c r="K26" s="45">
        <f>EXPLOITATION!K26</f>
        <v>28556.25</v>
      </c>
      <c r="L26" s="21">
        <f>L11</f>
        <v>0</v>
      </c>
      <c r="O26" s="74" t="s">
        <v>0</v>
      </c>
      <c r="P26" s="10" t="s">
        <v>1</v>
      </c>
      <c r="Q26" s="55">
        <f t="shared" ref="Q26:R34" si="3">E10</f>
        <v>5.26</v>
      </c>
      <c r="R26" s="55">
        <f t="shared" si="3"/>
        <v>7.9760000000000009</v>
      </c>
      <c r="S26" s="53">
        <f t="shared" ref="S26:T34" si="4">E25</f>
        <v>6.86</v>
      </c>
      <c r="T26" s="53">
        <f t="shared" si="4"/>
        <v>5.4880000000000004</v>
      </c>
      <c r="U26" s="53">
        <f t="shared" ref="U26:V34" si="5">E39</f>
        <v>6.18</v>
      </c>
      <c r="V26" s="53">
        <f t="shared" si="5"/>
        <v>4.944</v>
      </c>
      <c r="W26" s="58"/>
      <c r="X26" s="58"/>
      <c r="Y26" s="58"/>
      <c r="Z26" s="58"/>
      <c r="AA26" s="58"/>
      <c r="AB26" s="58"/>
      <c r="AC26" s="58"/>
      <c r="AD26" s="58"/>
      <c r="AE26" s="58"/>
    </row>
    <row r="27" spans="2:31" ht="15" x14ac:dyDescent="0.25">
      <c r="C27" s="6" t="s">
        <v>2</v>
      </c>
      <c r="D27" s="14" t="s">
        <v>27</v>
      </c>
      <c r="E27" s="3">
        <v>34.200000000000003</v>
      </c>
      <c r="F27" s="3">
        <v>4.16</v>
      </c>
      <c r="I27" s="6" t="s">
        <v>2</v>
      </c>
      <c r="J27" s="14" t="s">
        <v>27</v>
      </c>
      <c r="K27" s="45">
        <f>EXPLOITATION!K27</f>
        <v>25336.920000000002</v>
      </c>
      <c r="L27" s="21">
        <f>L12</f>
        <v>3074.97</v>
      </c>
      <c r="O27" s="75"/>
      <c r="P27" s="10" t="s">
        <v>11</v>
      </c>
      <c r="Q27" s="55">
        <f t="shared" si="3"/>
        <v>18.75</v>
      </c>
      <c r="R27" s="55">
        <f t="shared" si="3"/>
        <v>0</v>
      </c>
      <c r="S27" s="53">
        <f t="shared" si="4"/>
        <v>0</v>
      </c>
      <c r="T27" s="53">
        <f t="shared" si="4"/>
        <v>0</v>
      </c>
      <c r="U27" s="53">
        <f t="shared" si="5"/>
        <v>0</v>
      </c>
      <c r="V27" s="53">
        <f t="shared" si="5"/>
        <v>0</v>
      </c>
      <c r="W27" s="60"/>
      <c r="X27" s="60"/>
      <c r="Y27" s="60"/>
      <c r="Z27" s="60"/>
      <c r="AA27" s="60"/>
      <c r="AB27" s="60"/>
      <c r="AC27" s="60"/>
      <c r="AD27" s="60"/>
      <c r="AE27" s="60"/>
    </row>
    <row r="28" spans="2:31" ht="15" x14ac:dyDescent="0.25">
      <c r="C28" s="81" t="s">
        <v>3</v>
      </c>
      <c r="D28" s="14" t="s">
        <v>4</v>
      </c>
      <c r="E28" s="2">
        <v>1142.5</v>
      </c>
      <c r="F28" s="3">
        <v>12.5</v>
      </c>
      <c r="I28" s="76" t="s">
        <v>3</v>
      </c>
      <c r="J28" s="14" t="s">
        <v>5</v>
      </c>
      <c r="K28" s="45">
        <f>EXPLOITATION!K28</f>
        <v>8489.7897400000002</v>
      </c>
      <c r="L28" s="21">
        <f>L14</f>
        <v>41.17</v>
      </c>
      <c r="O28" s="6" t="s">
        <v>2</v>
      </c>
      <c r="P28" s="10" t="s">
        <v>27</v>
      </c>
      <c r="Q28" s="55">
        <f t="shared" si="3"/>
        <v>1.68</v>
      </c>
      <c r="R28" s="55">
        <f t="shared" si="3"/>
        <v>0.2</v>
      </c>
      <c r="S28" s="53">
        <f t="shared" si="4"/>
        <v>34.200000000000003</v>
      </c>
      <c r="T28" s="53">
        <f t="shared" si="4"/>
        <v>4.16</v>
      </c>
      <c r="U28" s="53">
        <f t="shared" si="5"/>
        <v>72.12</v>
      </c>
      <c r="V28" s="53">
        <f t="shared" si="5"/>
        <v>8.77</v>
      </c>
      <c r="W28" s="60"/>
      <c r="X28" s="60"/>
      <c r="Y28" s="60"/>
      <c r="Z28" s="60"/>
      <c r="AA28" s="60"/>
      <c r="AB28" s="60"/>
      <c r="AC28" s="60"/>
      <c r="AD28" s="60"/>
      <c r="AE28" s="60"/>
    </row>
    <row r="29" spans="2:31" ht="15" x14ac:dyDescent="0.25">
      <c r="C29" s="76"/>
      <c r="D29" s="14" t="s">
        <v>5</v>
      </c>
      <c r="E29" s="2">
        <v>5.23</v>
      </c>
      <c r="F29" s="3">
        <v>0.02</v>
      </c>
      <c r="I29" s="77"/>
      <c r="J29" s="14" t="s">
        <v>6</v>
      </c>
      <c r="K29" s="45">
        <f>EXPLOITATION!K29</f>
        <v>28009.556400000001</v>
      </c>
      <c r="L29" s="21">
        <f>L15</f>
        <v>296.90000000000003</v>
      </c>
      <c r="O29" s="81" t="s">
        <v>3</v>
      </c>
      <c r="P29" s="10" t="s">
        <v>4</v>
      </c>
      <c r="Q29" s="55">
        <f t="shared" si="3"/>
        <v>107.3</v>
      </c>
      <c r="R29" s="55">
        <f t="shared" si="3"/>
        <v>1.1200000000000001</v>
      </c>
      <c r="S29" s="53">
        <f t="shared" si="4"/>
        <v>1142.5</v>
      </c>
      <c r="T29" s="53">
        <f t="shared" si="4"/>
        <v>12.5</v>
      </c>
      <c r="U29" s="53">
        <f t="shared" si="5"/>
        <v>2286.6640737500002</v>
      </c>
      <c r="V29" s="53">
        <f t="shared" si="5"/>
        <v>23.97</v>
      </c>
      <c r="W29" s="60"/>
      <c r="X29" s="60"/>
      <c r="Y29" s="60"/>
      <c r="Z29" s="60"/>
      <c r="AA29" s="60"/>
      <c r="AB29" s="60"/>
      <c r="AC29" s="60"/>
      <c r="AD29" s="60"/>
      <c r="AE29" s="60"/>
    </row>
    <row r="30" spans="2:31" ht="15" x14ac:dyDescent="0.25">
      <c r="C30" s="77"/>
      <c r="D30" s="14" t="s">
        <v>6</v>
      </c>
      <c r="E30" s="2">
        <v>15.32</v>
      </c>
      <c r="F30" s="3">
        <v>0.16</v>
      </c>
      <c r="I30" s="7" t="s">
        <v>16</v>
      </c>
      <c r="J30" s="14" t="s">
        <v>9</v>
      </c>
      <c r="K30" s="45">
        <f>EXPLOITATION!K30</f>
        <v>35939.071600000003</v>
      </c>
      <c r="L30" s="21">
        <f>L16</f>
        <v>35939.071600000003</v>
      </c>
      <c r="O30" s="76"/>
      <c r="P30" s="10" t="s">
        <v>5</v>
      </c>
      <c r="Q30" s="55">
        <f t="shared" si="3"/>
        <v>1.1499999999999999</v>
      </c>
      <c r="R30" s="55">
        <f t="shared" si="3"/>
        <v>0.01</v>
      </c>
      <c r="S30" s="53">
        <f t="shared" si="4"/>
        <v>5.23</v>
      </c>
      <c r="T30" s="53">
        <f t="shared" si="4"/>
        <v>0.02</v>
      </c>
      <c r="U30" s="53">
        <f t="shared" si="5"/>
        <v>36.261393333333338</v>
      </c>
      <c r="V30" s="53">
        <f t="shared" si="5"/>
        <v>0.14000000000000001</v>
      </c>
      <c r="W30" s="60"/>
      <c r="X30" s="60"/>
      <c r="Y30" s="60"/>
      <c r="Z30" s="60"/>
      <c r="AA30" s="60"/>
      <c r="AB30" s="60"/>
      <c r="AC30" s="60"/>
      <c r="AD30" s="60"/>
      <c r="AE30" s="60"/>
    </row>
    <row r="31" spans="2:31" ht="15" x14ac:dyDescent="0.25">
      <c r="C31" s="7" t="s">
        <v>16</v>
      </c>
      <c r="D31" s="14" t="s">
        <v>9</v>
      </c>
      <c r="E31" s="2">
        <v>41.84</v>
      </c>
      <c r="F31" s="3">
        <v>41.84</v>
      </c>
      <c r="I31" s="78" t="s">
        <v>7</v>
      </c>
      <c r="J31" s="14" t="s">
        <v>12</v>
      </c>
      <c r="K31" s="45">
        <f>EXPLOITATION!K31</f>
        <v>8170.2679517351844</v>
      </c>
      <c r="L31" s="21">
        <f>L17</f>
        <v>8170.2679517351844</v>
      </c>
      <c r="O31" s="77"/>
      <c r="P31" s="10" t="s">
        <v>6</v>
      </c>
      <c r="Q31" s="55">
        <f t="shared" si="3"/>
        <v>13.13</v>
      </c>
      <c r="R31" s="55">
        <f t="shared" si="3"/>
        <v>0.14000000000000001</v>
      </c>
      <c r="S31" s="53">
        <f t="shared" si="4"/>
        <v>15.32</v>
      </c>
      <c r="T31" s="53">
        <f t="shared" si="4"/>
        <v>0.16</v>
      </c>
      <c r="U31" s="53">
        <f t="shared" si="5"/>
        <v>15.3216</v>
      </c>
      <c r="V31" s="53">
        <f t="shared" si="5"/>
        <v>0.16</v>
      </c>
      <c r="W31" s="57"/>
      <c r="X31" s="57"/>
      <c r="Y31" s="57"/>
      <c r="Z31" s="57"/>
      <c r="AA31" s="57"/>
      <c r="AB31" s="57"/>
      <c r="AC31" s="57"/>
      <c r="AD31" s="57"/>
      <c r="AE31" s="57"/>
    </row>
    <row r="32" spans="2:31" ht="15" x14ac:dyDescent="0.25">
      <c r="C32" s="78" t="s">
        <v>7</v>
      </c>
      <c r="D32" s="14" t="s">
        <v>12</v>
      </c>
      <c r="E32" s="3">
        <v>8.9700000000000006</v>
      </c>
      <c r="F32" s="3">
        <v>8.9700000000000006</v>
      </c>
      <c r="I32" s="79"/>
      <c r="J32" s="14" t="s">
        <v>8</v>
      </c>
      <c r="K32" s="45">
        <f>EXPLOITATION!K32</f>
        <v>14248.287893000001</v>
      </c>
      <c r="L32" s="21">
        <f>L18</f>
        <v>7137.4199999999992</v>
      </c>
      <c r="O32" s="7" t="s">
        <v>16</v>
      </c>
      <c r="P32" s="10" t="s">
        <v>9</v>
      </c>
      <c r="Q32" s="55">
        <f t="shared" si="3"/>
        <v>0</v>
      </c>
      <c r="R32" s="55">
        <f t="shared" si="3"/>
        <v>0</v>
      </c>
      <c r="S32" s="53">
        <f t="shared" si="4"/>
        <v>41.84</v>
      </c>
      <c r="T32" s="53">
        <f t="shared" si="4"/>
        <v>41.84</v>
      </c>
      <c r="U32" s="53">
        <f t="shared" si="5"/>
        <v>150.80706666666666</v>
      </c>
      <c r="V32" s="53">
        <f t="shared" si="5"/>
        <v>150.80706666666666</v>
      </c>
      <c r="W32" s="57"/>
      <c r="X32" s="57"/>
      <c r="Y32" s="57"/>
      <c r="Z32" s="57"/>
      <c r="AA32" s="57"/>
      <c r="AB32" s="57"/>
      <c r="AC32" s="57"/>
      <c r="AD32" s="57"/>
      <c r="AE32" s="57"/>
    </row>
    <row r="33" spans="3:22" ht="15" x14ac:dyDescent="0.25">
      <c r="C33" s="79"/>
      <c r="D33" s="14" t="s">
        <v>8</v>
      </c>
      <c r="E33" s="3">
        <v>17.52</v>
      </c>
      <c r="F33" s="3">
        <v>8.77</v>
      </c>
      <c r="I33" s="80" t="s">
        <v>10</v>
      </c>
      <c r="J33" s="80"/>
      <c r="K33" s="46">
        <f>SUM(K25:K32)</f>
        <v>160261.18358473518</v>
      </c>
      <c r="L33" s="47">
        <f>SUM(L25:L32)</f>
        <v>69607.295551735195</v>
      </c>
      <c r="M33" s="22">
        <f>(L33-EXPLOITATION!K33)/EXPLOITATION!K33</f>
        <v>-0.56566341271945242</v>
      </c>
      <c r="O33" s="78" t="s">
        <v>7</v>
      </c>
      <c r="P33" s="10" t="s">
        <v>32</v>
      </c>
      <c r="Q33" s="55">
        <f t="shared" si="3"/>
        <v>1.87</v>
      </c>
      <c r="R33" s="55">
        <f t="shared" si="3"/>
        <v>1.87</v>
      </c>
      <c r="S33" s="53">
        <f t="shared" si="4"/>
        <v>8.9700000000000006</v>
      </c>
      <c r="T33" s="53">
        <f t="shared" si="4"/>
        <v>8.9700000000000006</v>
      </c>
      <c r="U33" s="53">
        <f t="shared" si="5"/>
        <v>13.861069393296001</v>
      </c>
      <c r="V33" s="53">
        <f t="shared" si="5"/>
        <v>13.861069393296001</v>
      </c>
    </row>
    <row r="34" spans="3:22" ht="15" x14ac:dyDescent="0.2">
      <c r="C34" s="80" t="s">
        <v>10</v>
      </c>
      <c r="D34" s="80"/>
      <c r="E34" s="54">
        <f>SUM(E25:E33)</f>
        <v>1272.4399999999998</v>
      </c>
      <c r="F34" s="28">
        <f>SUM(F25:F33)</f>
        <v>81.908000000000001</v>
      </c>
      <c r="G34" s="17">
        <f>(F34-EXPLOITATION!E34)/EXPLOITATION!E34</f>
        <v>-0.93562918487315716</v>
      </c>
      <c r="O34" s="79"/>
      <c r="P34" s="10" t="s">
        <v>8</v>
      </c>
      <c r="Q34" s="55">
        <f t="shared" si="3"/>
        <v>2.23</v>
      </c>
      <c r="R34" s="55">
        <f t="shared" si="3"/>
        <v>1.1200000000000001</v>
      </c>
      <c r="S34" s="53">
        <f t="shared" si="4"/>
        <v>17.52</v>
      </c>
      <c r="T34" s="53">
        <f t="shared" si="4"/>
        <v>8.77</v>
      </c>
      <c r="U34" s="53">
        <f t="shared" si="5"/>
        <v>30.613317000000002</v>
      </c>
      <c r="V34" s="53">
        <f t="shared" si="5"/>
        <v>15.32</v>
      </c>
    </row>
    <row r="35" spans="3:22" x14ac:dyDescent="0.2">
      <c r="G35" s="19"/>
      <c r="O35" s="88" t="s">
        <v>10</v>
      </c>
      <c r="P35" s="88"/>
    </row>
    <row r="37" spans="3:22" x14ac:dyDescent="0.2">
      <c r="C37" s="4" t="s">
        <v>20</v>
      </c>
      <c r="F37" s="5">
        <v>129</v>
      </c>
    </row>
    <row r="38" spans="3:22" x14ac:dyDescent="0.2">
      <c r="C38" s="9"/>
      <c r="D38" s="8"/>
      <c r="E38" s="11" t="s">
        <v>25</v>
      </c>
      <c r="F38" s="11" t="s">
        <v>26</v>
      </c>
    </row>
    <row r="39" spans="3:22" ht="15" x14ac:dyDescent="0.25">
      <c r="C39" s="74" t="s">
        <v>0</v>
      </c>
      <c r="D39" s="10" t="s">
        <v>1</v>
      </c>
      <c r="E39" s="2">
        <v>6.18</v>
      </c>
      <c r="F39" s="3">
        <f>0.8*6.18</f>
        <v>4.944</v>
      </c>
    </row>
    <row r="40" spans="3:22" ht="15" x14ac:dyDescent="0.25">
      <c r="C40" s="75"/>
      <c r="D40" s="10" t="s">
        <v>11</v>
      </c>
      <c r="E40" s="2">
        <v>0</v>
      </c>
      <c r="F40" s="3">
        <v>0</v>
      </c>
    </row>
    <row r="41" spans="3:22" ht="15" x14ac:dyDescent="0.25">
      <c r="C41" s="6" t="s">
        <v>2</v>
      </c>
      <c r="D41" s="14" t="s">
        <v>27</v>
      </c>
      <c r="E41" s="2">
        <v>72.12</v>
      </c>
      <c r="F41" s="3">
        <v>8.77</v>
      </c>
    </row>
    <row r="42" spans="3:22" ht="15" x14ac:dyDescent="0.25">
      <c r="C42" s="81" t="s">
        <v>3</v>
      </c>
      <c r="D42" s="14" t="s">
        <v>4</v>
      </c>
      <c r="E42" s="2">
        <v>2286.6640737500002</v>
      </c>
      <c r="F42" s="3">
        <v>23.97</v>
      </c>
    </row>
    <row r="43" spans="3:22" ht="15" x14ac:dyDescent="0.25">
      <c r="C43" s="76"/>
      <c r="D43" s="14" t="s">
        <v>5</v>
      </c>
      <c r="E43" s="3">
        <v>36.261393333333338</v>
      </c>
      <c r="F43" s="3">
        <v>0.14000000000000001</v>
      </c>
    </row>
    <row r="44" spans="3:22" ht="15" x14ac:dyDescent="0.25">
      <c r="C44" s="77"/>
      <c r="D44" s="14" t="s">
        <v>6</v>
      </c>
      <c r="E44" s="2">
        <v>15.3216</v>
      </c>
      <c r="F44" s="3">
        <v>0.16</v>
      </c>
    </row>
    <row r="45" spans="3:22" ht="15" x14ac:dyDescent="0.25">
      <c r="C45" s="7" t="s">
        <v>16</v>
      </c>
      <c r="D45" s="14" t="s">
        <v>9</v>
      </c>
      <c r="E45" s="2">
        <v>150.80706666666666</v>
      </c>
      <c r="F45" s="2">
        <v>150.80706666666666</v>
      </c>
    </row>
    <row r="46" spans="3:22" ht="15" x14ac:dyDescent="0.25">
      <c r="C46" s="78" t="s">
        <v>7</v>
      </c>
      <c r="D46" s="14" t="s">
        <v>12</v>
      </c>
      <c r="E46" s="2">
        <v>13.861069393296001</v>
      </c>
      <c r="F46" s="2">
        <v>13.861069393296001</v>
      </c>
    </row>
    <row r="47" spans="3:22" ht="15" x14ac:dyDescent="0.25">
      <c r="C47" s="79"/>
      <c r="D47" s="14" t="s">
        <v>8</v>
      </c>
      <c r="E47" s="2">
        <v>30.613317000000002</v>
      </c>
      <c r="F47" s="2">
        <v>15.32</v>
      </c>
    </row>
    <row r="48" spans="3:22" ht="15" x14ac:dyDescent="0.2">
      <c r="C48" s="80" t="s">
        <v>10</v>
      </c>
      <c r="D48" s="80"/>
      <c r="E48" s="54">
        <f>SUM(E39:E47)</f>
        <v>2611.8285201432964</v>
      </c>
      <c r="F48" s="29">
        <f>SUM(F39:F47)</f>
        <v>217.97213605996265</v>
      </c>
      <c r="G48" s="17">
        <f>(F48-EXPLOITATION!E48)/EXPLOITATION!E48</f>
        <v>-0.91654423926422091</v>
      </c>
    </row>
    <row r="49" spans="3:12" x14ac:dyDescent="0.2">
      <c r="G49" s="19"/>
    </row>
    <row r="57" spans="3:12" x14ac:dyDescent="0.2">
      <c r="C57" s="31"/>
      <c r="D57" s="31"/>
      <c r="E57" s="31"/>
      <c r="F57" s="32"/>
    </row>
    <row r="58" spans="3:12" x14ac:dyDescent="0.2">
      <c r="C58" s="31"/>
      <c r="D58" s="31"/>
      <c r="E58" s="31"/>
      <c r="F58" s="32"/>
    </row>
    <row r="59" spans="3:12" x14ac:dyDescent="0.2">
      <c r="C59" s="31"/>
      <c r="D59" s="31"/>
      <c r="E59" s="31"/>
      <c r="F59" s="32"/>
      <c r="I59" s="31"/>
      <c r="J59" s="31"/>
      <c r="K59" s="31"/>
      <c r="L59" s="31"/>
    </row>
    <row r="60" spans="3:12" x14ac:dyDescent="0.2">
      <c r="C60" s="31"/>
      <c r="D60" s="31"/>
      <c r="E60" s="31"/>
      <c r="F60" s="32"/>
      <c r="I60" s="31"/>
      <c r="J60" s="31"/>
      <c r="K60" s="31"/>
      <c r="L60" s="31"/>
    </row>
    <row r="61" spans="3:12" x14ac:dyDescent="0.2">
      <c r="C61" s="33"/>
      <c r="D61" s="34"/>
      <c r="E61" s="34"/>
      <c r="F61" s="35"/>
      <c r="G61" s="86"/>
      <c r="H61" s="86"/>
      <c r="I61" s="33"/>
      <c r="J61" s="34"/>
      <c r="K61" s="34"/>
      <c r="L61" s="35"/>
    </row>
    <row r="62" spans="3:12" x14ac:dyDescent="0.2">
      <c r="C62" s="33"/>
      <c r="D62" s="36"/>
      <c r="E62" s="36"/>
      <c r="F62" s="35"/>
      <c r="G62" s="16"/>
      <c r="H62" s="17"/>
      <c r="I62" s="33"/>
      <c r="J62" s="36"/>
      <c r="K62" s="36"/>
      <c r="L62" s="43"/>
    </row>
    <row r="63" spans="3:12" x14ac:dyDescent="0.2">
      <c r="C63" s="33"/>
      <c r="D63" s="36"/>
      <c r="E63" s="36"/>
      <c r="F63" s="35"/>
      <c r="G63" s="16"/>
      <c r="H63" s="17"/>
      <c r="I63" s="33"/>
      <c r="J63" s="36"/>
      <c r="K63" s="36"/>
      <c r="L63" s="43"/>
    </row>
    <row r="64" spans="3:12" x14ac:dyDescent="0.2">
      <c r="C64" s="37"/>
      <c r="D64" s="36"/>
      <c r="E64" s="36"/>
      <c r="F64" s="35"/>
      <c r="G64" s="18"/>
      <c r="H64" s="17"/>
      <c r="I64" s="37"/>
      <c r="J64" s="36"/>
      <c r="K64" s="36"/>
      <c r="L64" s="43"/>
    </row>
    <row r="65" spans="3:12" x14ac:dyDescent="0.2">
      <c r="C65" s="41"/>
      <c r="D65" s="36"/>
      <c r="E65" s="36"/>
      <c r="F65" s="35"/>
      <c r="G65" s="16"/>
      <c r="H65" s="17"/>
      <c r="I65" s="41"/>
      <c r="J65" s="36"/>
      <c r="K65" s="36"/>
      <c r="L65" s="43"/>
    </row>
    <row r="66" spans="3:12" x14ac:dyDescent="0.2">
      <c r="C66" s="41"/>
      <c r="D66" s="36"/>
      <c r="E66" s="36"/>
      <c r="F66" s="35"/>
      <c r="G66" s="16"/>
      <c r="H66" s="17"/>
      <c r="I66" s="41"/>
      <c r="J66" s="36"/>
      <c r="K66" s="36"/>
      <c r="L66" s="43"/>
    </row>
    <row r="67" spans="3:12" x14ac:dyDescent="0.2">
      <c r="C67" s="41"/>
      <c r="D67" s="36"/>
      <c r="E67" s="36"/>
      <c r="F67" s="35"/>
      <c r="G67" s="16"/>
      <c r="H67" s="17"/>
      <c r="I67" s="41"/>
      <c r="J67" s="36"/>
      <c r="K67" s="36"/>
      <c r="L67" s="43"/>
    </row>
    <row r="68" spans="3:12" x14ac:dyDescent="0.2">
      <c r="C68" s="37"/>
      <c r="D68" s="36"/>
      <c r="E68" s="36"/>
      <c r="F68" s="35"/>
      <c r="G68" s="16"/>
      <c r="H68" s="17"/>
      <c r="I68" s="37"/>
      <c r="J68" s="36"/>
      <c r="K68" s="36"/>
      <c r="L68" s="43"/>
    </row>
    <row r="69" spans="3:12" x14ac:dyDescent="0.2">
      <c r="C69" s="41"/>
      <c r="D69" s="36"/>
      <c r="E69" s="36"/>
      <c r="F69" s="35"/>
      <c r="G69" s="18"/>
      <c r="H69" s="17"/>
      <c r="I69" s="41"/>
      <c r="J69" s="36"/>
      <c r="K69" s="36"/>
      <c r="L69" s="43"/>
    </row>
    <row r="70" spans="3:12" x14ac:dyDescent="0.2">
      <c r="C70" s="41"/>
      <c r="D70" s="36"/>
      <c r="E70" s="36"/>
      <c r="F70" s="35"/>
      <c r="G70" s="18"/>
      <c r="H70" s="17"/>
      <c r="I70" s="41"/>
      <c r="J70" s="36"/>
      <c r="K70" s="36"/>
      <c r="L70" s="43"/>
    </row>
    <row r="71" spans="3:12" ht="15" x14ac:dyDescent="0.2">
      <c r="C71" s="39"/>
      <c r="D71" s="39"/>
      <c r="E71" s="38"/>
      <c r="F71" s="40"/>
      <c r="G71" s="16"/>
      <c r="H71" s="19"/>
      <c r="I71" s="39"/>
      <c r="J71" s="39"/>
      <c r="K71" s="38"/>
      <c r="L71" s="44"/>
    </row>
    <row r="72" spans="3:12" x14ac:dyDescent="0.2">
      <c r="C72" s="34"/>
      <c r="D72" s="34"/>
      <c r="E72" s="34"/>
      <c r="F72" s="35"/>
      <c r="G72" s="19"/>
      <c r="H72" s="19"/>
      <c r="I72" s="32"/>
      <c r="J72" s="32"/>
      <c r="K72" s="32"/>
      <c r="L72" s="31"/>
    </row>
    <row r="73" spans="3:12" x14ac:dyDescent="0.2">
      <c r="C73" s="31"/>
      <c r="D73" s="31"/>
      <c r="E73" s="31"/>
      <c r="F73" s="32"/>
      <c r="I73" s="31"/>
      <c r="J73" s="31"/>
      <c r="K73" s="31"/>
      <c r="L73" s="31"/>
    </row>
    <row r="74" spans="3:12" x14ac:dyDescent="0.2">
      <c r="C74" s="31"/>
      <c r="D74" s="31"/>
      <c r="E74" s="31"/>
      <c r="F74" s="32"/>
      <c r="I74" s="31"/>
      <c r="J74" s="31"/>
      <c r="K74" s="31"/>
      <c r="L74" s="31"/>
    </row>
    <row r="75" spans="3:12" x14ac:dyDescent="0.2">
      <c r="C75" s="31"/>
      <c r="D75" s="31"/>
      <c r="E75" s="31"/>
      <c r="F75" s="32"/>
      <c r="I75" s="31"/>
      <c r="J75" s="31"/>
      <c r="K75" s="31"/>
      <c r="L75" s="31"/>
    </row>
    <row r="76" spans="3:12" x14ac:dyDescent="0.2">
      <c r="C76" s="33"/>
      <c r="D76" s="34"/>
      <c r="E76" s="34"/>
      <c r="F76" s="35"/>
      <c r="I76" s="33"/>
      <c r="J76" s="34"/>
      <c r="K76" s="34"/>
      <c r="L76" s="35"/>
    </row>
    <row r="77" spans="3:12" ht="15" x14ac:dyDescent="0.25">
      <c r="C77" s="33"/>
      <c r="D77" s="36"/>
      <c r="E77" s="36"/>
      <c r="F77" s="30"/>
      <c r="I77" s="33"/>
      <c r="J77" s="36"/>
      <c r="K77" s="36"/>
      <c r="L77" s="43"/>
    </row>
    <row r="78" spans="3:12" ht="15" x14ac:dyDescent="0.25">
      <c r="C78" s="33"/>
      <c r="D78" s="36"/>
      <c r="E78" s="36"/>
      <c r="F78" s="30"/>
      <c r="I78" s="33"/>
      <c r="J78" s="36"/>
      <c r="K78" s="36"/>
      <c r="L78" s="43"/>
    </row>
    <row r="79" spans="3:12" ht="15" x14ac:dyDescent="0.25">
      <c r="C79" s="37"/>
      <c r="D79" s="36"/>
      <c r="E79" s="36"/>
      <c r="F79" s="30"/>
      <c r="I79" s="37"/>
      <c r="J79" s="36"/>
      <c r="K79" s="36"/>
      <c r="L79" s="43"/>
    </row>
    <row r="80" spans="3:12" ht="15" x14ac:dyDescent="0.25">
      <c r="C80" s="41"/>
      <c r="D80" s="36"/>
      <c r="E80" s="36"/>
      <c r="F80" s="30"/>
      <c r="I80" s="41"/>
      <c r="J80" s="36"/>
      <c r="K80" s="36"/>
      <c r="L80" s="43"/>
    </row>
    <row r="81" spans="3:12" ht="15" x14ac:dyDescent="0.25">
      <c r="C81" s="41"/>
      <c r="D81" s="36"/>
      <c r="E81" s="36"/>
      <c r="F81" s="30"/>
      <c r="I81" s="41"/>
      <c r="J81" s="36"/>
      <c r="K81" s="36"/>
      <c r="L81" s="43"/>
    </row>
    <row r="82" spans="3:12" ht="15" x14ac:dyDescent="0.25">
      <c r="C82" s="41"/>
      <c r="D82" s="36"/>
      <c r="E82" s="36"/>
      <c r="F82" s="30"/>
      <c r="I82" s="37"/>
      <c r="J82" s="36"/>
      <c r="K82" s="36"/>
      <c r="L82" s="43"/>
    </row>
    <row r="83" spans="3:12" ht="15" x14ac:dyDescent="0.25">
      <c r="C83" s="37"/>
      <c r="D83" s="36"/>
      <c r="E83" s="36"/>
      <c r="F83" s="30"/>
      <c r="I83" s="41"/>
      <c r="J83" s="36"/>
      <c r="K83" s="36"/>
      <c r="L83" s="43"/>
    </row>
    <row r="84" spans="3:12" ht="15" x14ac:dyDescent="0.25">
      <c r="C84" s="41"/>
      <c r="D84" s="36"/>
      <c r="E84" s="36"/>
      <c r="F84" s="30"/>
      <c r="I84" s="41"/>
      <c r="J84" s="36"/>
      <c r="K84" s="36"/>
      <c r="L84" s="43"/>
    </row>
    <row r="85" spans="3:12" ht="15" x14ac:dyDescent="0.25">
      <c r="C85" s="41"/>
      <c r="D85" s="36"/>
      <c r="E85" s="36"/>
      <c r="F85" s="30"/>
      <c r="I85" s="39"/>
      <c r="J85" s="39"/>
      <c r="K85" s="38"/>
      <c r="L85" s="44"/>
    </row>
    <row r="86" spans="3:12" ht="15" x14ac:dyDescent="0.2">
      <c r="C86" s="39"/>
      <c r="D86" s="39"/>
      <c r="E86" s="38"/>
      <c r="F86" s="40"/>
      <c r="I86" s="31"/>
      <c r="J86" s="31"/>
      <c r="K86" s="31"/>
      <c r="L86" s="31"/>
    </row>
    <row r="87" spans="3:12" x14ac:dyDescent="0.2">
      <c r="C87" s="31"/>
      <c r="D87" s="31"/>
      <c r="E87" s="31"/>
      <c r="F87" s="32"/>
      <c r="I87" s="31"/>
      <c r="J87" s="31"/>
      <c r="K87" s="31"/>
      <c r="L87" s="31"/>
    </row>
    <row r="88" spans="3:12" x14ac:dyDescent="0.2">
      <c r="C88" s="31"/>
      <c r="D88" s="31"/>
      <c r="E88" s="31"/>
      <c r="F88" s="32"/>
      <c r="I88" s="31"/>
      <c r="J88" s="31"/>
      <c r="K88" s="31"/>
      <c r="L88" s="31"/>
    </row>
    <row r="89" spans="3:12" x14ac:dyDescent="0.2">
      <c r="C89" s="31"/>
      <c r="D89" s="31"/>
      <c r="E89" s="31"/>
      <c r="F89" s="32"/>
      <c r="I89" s="31"/>
      <c r="J89" s="31"/>
      <c r="K89" s="31"/>
      <c r="L89" s="31"/>
    </row>
    <row r="90" spans="3:12" x14ac:dyDescent="0.2">
      <c r="C90" s="33"/>
      <c r="D90" s="34"/>
      <c r="E90" s="34"/>
      <c r="F90" s="35"/>
      <c r="I90" s="31"/>
      <c r="J90" s="31"/>
      <c r="K90" s="31"/>
      <c r="L90" s="31"/>
    </row>
    <row r="91" spans="3:12" ht="15" x14ac:dyDescent="0.25">
      <c r="C91" s="33"/>
      <c r="D91" s="36"/>
      <c r="E91" s="36"/>
      <c r="F91" s="30"/>
      <c r="I91" s="31"/>
      <c r="J91" s="31"/>
      <c r="K91" s="31"/>
      <c r="L91" s="31"/>
    </row>
    <row r="92" spans="3:12" ht="15" x14ac:dyDescent="0.25">
      <c r="C92" s="33"/>
      <c r="D92" s="36"/>
      <c r="E92" s="36"/>
      <c r="F92" s="30"/>
    </row>
    <row r="93" spans="3:12" ht="15" x14ac:dyDescent="0.25">
      <c r="C93" s="37"/>
      <c r="D93" s="36"/>
      <c r="E93" s="36"/>
      <c r="F93" s="30"/>
    </row>
    <row r="94" spans="3:12" ht="15" x14ac:dyDescent="0.25">
      <c r="C94" s="41"/>
      <c r="D94" s="36"/>
      <c r="E94" s="36"/>
      <c r="F94" s="30"/>
    </row>
    <row r="95" spans="3:12" ht="15" x14ac:dyDescent="0.25">
      <c r="C95" s="41"/>
      <c r="D95" s="36"/>
      <c r="E95" s="36"/>
      <c r="F95" s="30"/>
    </row>
    <row r="96" spans="3:12" ht="15" x14ac:dyDescent="0.25">
      <c r="C96" s="41"/>
      <c r="D96" s="36"/>
      <c r="E96" s="36"/>
      <c r="F96" s="30"/>
    </row>
    <row r="97" spans="3:6" ht="15" x14ac:dyDescent="0.25">
      <c r="C97" s="37"/>
      <c r="D97" s="36"/>
      <c r="E97" s="36"/>
      <c r="F97" s="30"/>
    </row>
    <row r="98" spans="3:6" ht="15" x14ac:dyDescent="0.25">
      <c r="C98" s="41"/>
      <c r="D98" s="36"/>
      <c r="E98" s="36"/>
      <c r="F98" s="30"/>
    </row>
    <row r="99" spans="3:6" ht="15" x14ac:dyDescent="0.25">
      <c r="C99" s="41"/>
      <c r="D99" s="36"/>
      <c r="E99" s="36"/>
      <c r="F99" s="30"/>
    </row>
    <row r="100" spans="3:6" ht="15" x14ac:dyDescent="0.2">
      <c r="C100" s="39"/>
      <c r="D100" s="39"/>
      <c r="E100" s="38"/>
      <c r="F100" s="42"/>
    </row>
    <row r="101" spans="3:6" x14ac:dyDescent="0.2">
      <c r="C101" s="31"/>
      <c r="D101" s="31"/>
      <c r="E101" s="31"/>
      <c r="F101" s="32"/>
    </row>
    <row r="102" spans="3:6" x14ac:dyDescent="0.2">
      <c r="C102" s="31"/>
      <c r="D102" s="31"/>
      <c r="E102" s="31"/>
      <c r="F102" s="32"/>
    </row>
    <row r="103" spans="3:6" x14ac:dyDescent="0.2">
      <c r="C103" s="31"/>
      <c r="D103" s="31"/>
      <c r="E103" s="31"/>
      <c r="F103" s="32"/>
    </row>
    <row r="104" spans="3:6" x14ac:dyDescent="0.2">
      <c r="C104" s="31"/>
      <c r="D104" s="31"/>
      <c r="E104" s="31"/>
      <c r="F104" s="32"/>
    </row>
    <row r="105" spans="3:6" x14ac:dyDescent="0.2">
      <c r="C105" s="31"/>
      <c r="D105" s="31"/>
      <c r="E105" s="31"/>
      <c r="F105" s="32"/>
    </row>
    <row r="106" spans="3:6" x14ac:dyDescent="0.2">
      <c r="C106" s="31"/>
      <c r="D106" s="31"/>
      <c r="E106" s="31"/>
      <c r="F106" s="32"/>
    </row>
    <row r="107" spans="3:6" x14ac:dyDescent="0.2">
      <c r="C107" s="31"/>
      <c r="D107" s="31"/>
      <c r="E107" s="31"/>
      <c r="F107" s="32"/>
    </row>
    <row r="108" spans="3:6" x14ac:dyDescent="0.2">
      <c r="C108" s="31"/>
      <c r="D108" s="31"/>
      <c r="E108" s="31"/>
      <c r="F108" s="32"/>
    </row>
  </sheetData>
  <mergeCells count="32">
    <mergeCell ref="C46:C47"/>
    <mergeCell ref="C48:D48"/>
    <mergeCell ref="G61:H61"/>
    <mergeCell ref="I33:J33"/>
    <mergeCell ref="O33:O34"/>
    <mergeCell ref="C34:D34"/>
    <mergeCell ref="O35:P35"/>
    <mergeCell ref="C39:C40"/>
    <mergeCell ref="C42:C44"/>
    <mergeCell ref="S24:T24"/>
    <mergeCell ref="U24:V24"/>
    <mergeCell ref="C25:C26"/>
    <mergeCell ref="I25:I26"/>
    <mergeCell ref="O26:O27"/>
    <mergeCell ref="Q24:R24"/>
    <mergeCell ref="C28:C30"/>
    <mergeCell ref="I28:I29"/>
    <mergeCell ref="O29:O31"/>
    <mergeCell ref="I31:I32"/>
    <mergeCell ref="C32:C33"/>
    <mergeCell ref="C17:C18"/>
    <mergeCell ref="I17:I18"/>
    <mergeCell ref="O17:O18"/>
    <mergeCell ref="C19:D19"/>
    <mergeCell ref="I19:J19"/>
    <mergeCell ref="G9:H9"/>
    <mergeCell ref="C10:C11"/>
    <mergeCell ref="I10:I11"/>
    <mergeCell ref="O10:O11"/>
    <mergeCell ref="C13:C15"/>
    <mergeCell ref="I13:I15"/>
    <mergeCell ref="O13:O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Read me SOMMAIRE CINEMA</vt:lpstr>
      <vt:lpstr>EXPLOITATION</vt:lpstr>
      <vt:lpstr>S1</vt:lpstr>
      <vt:lpstr>S2</vt:lpstr>
      <vt:lpstr>S3</vt:lpstr>
      <vt:lpstr>S4</vt:lpstr>
      <vt:lpstr>SCompilé</vt:lpstr>
      <vt:lpstr>2050 Mobilité</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Juliette Vigoureux</dc:creator>
  <cp:lastModifiedBy>TSP_HLE</cp:lastModifiedBy>
  <dcterms:created xsi:type="dcterms:W3CDTF">2021-11-11T12:29:20Z</dcterms:created>
  <dcterms:modified xsi:type="dcterms:W3CDTF">2022-01-03T17:10:29Z</dcterms:modified>
</cp:coreProperties>
</file>